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8675" windowHeight="11535"/>
  </bookViews>
  <sheets>
    <sheet name="PRESUPUESTO OFERENTES" sheetId="2" r:id="rId1"/>
  </sheets>
  <externalReferences>
    <externalReference r:id="rId2"/>
  </externalReferences>
  <definedNames>
    <definedName name="_xlnm.Print_Area" localSheetId="0">'PRESUPUESTO OFERENTES'!$A$1:$H$315</definedName>
    <definedName name="_xlnm.Print_Titles" localSheetId="0">'PRESUPUESTO OFERENTES'!$1:$15</definedName>
  </definedNames>
  <calcPr calcId="152511" concurrentCalc="0"/>
</workbook>
</file>

<file path=xl/calcChain.xml><?xml version="1.0" encoding="utf-8"?>
<calcChain xmlns="http://schemas.openxmlformats.org/spreadsheetml/2006/main">
  <c r="G291" i="2" l="1"/>
  <c r="G287" i="2"/>
  <c r="G285" i="2"/>
  <c r="G282" i="2"/>
  <c r="G281" i="2"/>
  <c r="G279" i="2"/>
  <c r="G277" i="2"/>
  <c r="D276" i="2"/>
  <c r="G276" i="2"/>
  <c r="D274" i="2"/>
  <c r="I254" i="2"/>
  <c r="D270" i="2"/>
  <c r="D273" i="2"/>
  <c r="G273" i="2"/>
  <c r="G270" i="2"/>
  <c r="G268" i="2"/>
  <c r="G267" i="2"/>
  <c r="G266" i="2"/>
  <c r="G264" i="2"/>
  <c r="D263" i="2"/>
  <c r="G263" i="2"/>
  <c r="D262" i="2"/>
  <c r="D261" i="2"/>
  <c r="G261" i="2"/>
  <c r="G258" i="2"/>
  <c r="G254" i="2"/>
  <c r="G249" i="2"/>
  <c r="G248" i="2"/>
  <c r="G247" i="2"/>
  <c r="G242" i="2"/>
  <c r="G240" i="2"/>
  <c r="G238" i="2"/>
  <c r="G236" i="2"/>
  <c r="G234" i="2"/>
  <c r="G233" i="2"/>
  <c r="G231" i="2"/>
  <c r="G227" i="2"/>
  <c r="G225" i="2"/>
  <c r="G223" i="2"/>
  <c r="G221" i="2"/>
  <c r="G220" i="2"/>
  <c r="G215" i="2"/>
  <c r="G213" i="2"/>
  <c r="G211" i="2"/>
  <c r="G210" i="2"/>
  <c r="G203" i="2"/>
  <c r="G200" i="2"/>
  <c r="G199" i="2"/>
  <c r="G198" i="2"/>
  <c r="G197" i="2"/>
  <c r="G196" i="2"/>
  <c r="G195" i="2"/>
  <c r="G194" i="2"/>
  <c r="G188" i="2"/>
  <c r="D186" i="2"/>
  <c r="G181" i="2"/>
  <c r="G179" i="2"/>
  <c r="D177" i="2"/>
  <c r="G177" i="2"/>
  <c r="G172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47" i="2"/>
  <c r="G146" i="2"/>
  <c r="G145" i="2"/>
  <c r="D140" i="2"/>
  <c r="D139" i="2"/>
  <c r="G138" i="2"/>
  <c r="D132" i="2"/>
  <c r="G132" i="2"/>
  <c r="G131" i="2"/>
  <c r="D129" i="2"/>
  <c r="G129" i="2"/>
  <c r="D127" i="2"/>
  <c r="D126" i="2"/>
  <c r="G126" i="2"/>
  <c r="I124" i="2"/>
  <c r="D124" i="2"/>
  <c r="G124" i="2"/>
  <c r="I122" i="2"/>
  <c r="D122" i="2"/>
  <c r="D119" i="2"/>
  <c r="G119" i="2"/>
  <c r="D111" i="2"/>
  <c r="G111" i="2"/>
  <c r="D110" i="2"/>
  <c r="G110" i="2"/>
  <c r="D105" i="2"/>
  <c r="G105" i="2"/>
  <c r="D104" i="2"/>
  <c r="G104" i="2"/>
  <c r="D103" i="2"/>
  <c r="D101" i="2"/>
  <c r="G101" i="2"/>
  <c r="D100" i="2"/>
  <c r="G100" i="2"/>
  <c r="D99" i="2"/>
  <c r="G99" i="2"/>
  <c r="D117" i="2"/>
  <c r="D98" i="2"/>
  <c r="D118" i="2"/>
  <c r="D97" i="2"/>
  <c r="D116" i="2"/>
  <c r="D92" i="2"/>
  <c r="D90" i="2"/>
  <c r="G90" i="2"/>
  <c r="D85" i="2"/>
  <c r="G85" i="2"/>
  <c r="D84" i="2"/>
  <c r="D83" i="2"/>
  <c r="G83" i="2"/>
  <c r="D81" i="2"/>
  <c r="D79" i="2"/>
  <c r="G79" i="2"/>
  <c r="D78" i="2"/>
  <c r="G73" i="2"/>
  <c r="D72" i="2"/>
  <c r="D71" i="2"/>
  <c r="G71" i="2"/>
  <c r="D70" i="2"/>
  <c r="D69" i="2"/>
  <c r="D68" i="2"/>
  <c r="D67" i="2"/>
  <c r="G67" i="2"/>
  <c r="G65" i="2"/>
  <c r="D64" i="2"/>
  <c r="G64" i="2"/>
  <c r="D62" i="2"/>
  <c r="G62" i="2"/>
  <c r="D61" i="2"/>
  <c r="G59" i="2"/>
  <c r="D58" i="2"/>
  <c r="G58" i="2"/>
  <c r="D57" i="2"/>
  <c r="G57" i="2"/>
  <c r="D56" i="2"/>
  <c r="G56" i="2"/>
  <c r="D55" i="2"/>
  <c r="G55" i="2"/>
  <c r="D54" i="2"/>
  <c r="G54" i="2"/>
  <c r="D53" i="2"/>
  <c r="D48" i="2"/>
  <c r="D46" i="2"/>
  <c r="G46" i="2"/>
  <c r="D38" i="2"/>
  <c r="G38" i="2"/>
  <c r="I36" i="2"/>
  <c r="D34" i="2"/>
  <c r="D33" i="2"/>
  <c r="G33" i="2"/>
  <c r="D31" i="2"/>
  <c r="D40" i="2"/>
  <c r="D28" i="2"/>
  <c r="D26" i="2"/>
  <c r="D25" i="2"/>
  <c r="G25" i="2"/>
  <c r="D20" i="2"/>
  <c r="G20" i="2"/>
  <c r="G19" i="2"/>
  <c r="D18" i="2"/>
  <c r="G18" i="2"/>
  <c r="H112" i="2"/>
  <c r="G139" i="2"/>
  <c r="G140" i="2"/>
  <c r="H141" i="2"/>
  <c r="G26" i="2"/>
  <c r="G48" i="2"/>
  <c r="G97" i="2"/>
  <c r="G34" i="2"/>
  <c r="G68" i="2"/>
  <c r="G103" i="2"/>
  <c r="G40" i="2"/>
  <c r="G53" i="2"/>
  <c r="G61" i="2"/>
  <c r="G69" i="2"/>
  <c r="G72" i="2"/>
  <c r="G81" i="2"/>
  <c r="G84" i="2"/>
  <c r="G92" i="2"/>
  <c r="H93" i="2"/>
  <c r="G98" i="2"/>
  <c r="D133" i="2"/>
  <c r="G133" i="2"/>
  <c r="G116" i="2"/>
  <c r="G186" i="2"/>
  <c r="F190" i="2"/>
  <c r="G190" i="2"/>
  <c r="D42" i="2"/>
  <c r="G42" i="2"/>
  <c r="G31" i="2"/>
  <c r="D36" i="2"/>
  <c r="G36" i="2"/>
  <c r="G70" i="2"/>
  <c r="G78" i="2"/>
  <c r="G118" i="2"/>
  <c r="G122" i="2"/>
  <c r="G127" i="2"/>
  <c r="H250" i="2"/>
  <c r="G262" i="2"/>
  <c r="G274" i="2"/>
  <c r="H292" i="2"/>
  <c r="H21" i="2"/>
  <c r="D44" i="2"/>
  <c r="G117" i="2"/>
  <c r="H243" i="2"/>
  <c r="G44" i="2"/>
  <c r="H148" i="2"/>
  <c r="I169" i="2"/>
  <c r="F206" i="2"/>
  <c r="G206" i="2"/>
  <c r="I205" i="2"/>
  <c r="D102" i="2"/>
  <c r="G102" i="2"/>
  <c r="G28" i="2"/>
  <c r="H216" i="2"/>
  <c r="I190" i="2"/>
  <c r="H106" i="2"/>
  <c r="H86" i="2"/>
  <c r="H49" i="2"/>
  <c r="H134" i="2"/>
  <c r="H74" i="2"/>
  <c r="H295" i="2"/>
  <c r="G306" i="2"/>
  <c r="G307" i="2"/>
  <c r="G305" i="2"/>
  <c r="G303" i="2"/>
  <c r="G302" i="2"/>
  <c r="G301" i="2"/>
  <c r="G304" i="2"/>
  <c r="G308" i="2"/>
  <c r="H309" i="2"/>
  <c r="H313" i="2"/>
</calcChain>
</file>

<file path=xl/sharedStrings.xml><?xml version="1.0" encoding="utf-8"?>
<sst xmlns="http://schemas.openxmlformats.org/spreadsheetml/2006/main" count="326" uniqueCount="195">
  <si>
    <t>CORPORACION DEL ACUEDUCTO Y ALCANTARILLADO DE SANTIAGO</t>
  </si>
  <si>
    <t>CORAASAN</t>
  </si>
  <si>
    <t xml:space="preserve">GERENCIA INGENIERIA Y  PROYECTOS </t>
  </si>
  <si>
    <t xml:space="preserve">PRESUPUESTO  </t>
  </si>
  <si>
    <t>PROYECTO :</t>
  </si>
  <si>
    <t>REHABILITACION ESTACION DE BOMBEO TOMA DE LOPEZ</t>
  </si>
  <si>
    <t>OBRA :</t>
  </si>
  <si>
    <t>CONSTRUCCION CASETA PARA MCC Y REHABILITACION SUB-ESTACION ELECTRICA</t>
  </si>
  <si>
    <t>LUGAR DE EJECUCION :</t>
  </si>
  <si>
    <t xml:space="preserve"> "TOMA DE LOPEZ, SABANA IGLESIA, SANTIAGO"</t>
  </si>
  <si>
    <t>SEC.</t>
  </si>
  <si>
    <t>DESCRIPCION</t>
  </si>
  <si>
    <t>CANTIDAD</t>
  </si>
  <si>
    <t>UNIDAD</t>
  </si>
  <si>
    <t>RD$P.U.</t>
  </si>
  <si>
    <t>VALOR</t>
  </si>
  <si>
    <t>SUB - TOTAL</t>
  </si>
  <si>
    <t>TRABAJOS PRELIMINARES</t>
  </si>
  <si>
    <t>Replanteo de la caseta</t>
  </si>
  <si>
    <t>Ml</t>
  </si>
  <si>
    <t xml:space="preserve">Replanteo de la tuberia 16" H. N. </t>
  </si>
  <si>
    <t>Limpieza de area verde</t>
  </si>
  <si>
    <t>M3</t>
  </si>
  <si>
    <t>MOVIMIENTO DE TIERRA Y SUMINISTRO  DE  MATERIALES</t>
  </si>
  <si>
    <t>Remoción  de  Capa  Vegetal ( 1.00 Mt )</t>
  </si>
  <si>
    <t>Excavación de Zanja con equipo P/Tuberia de 16" H.N.</t>
  </si>
  <si>
    <t xml:space="preserve">Excavación a Mano S / Acarreo, incluye extraccion de1.50 mts de material en area de ubicación actual de transformadores </t>
  </si>
  <si>
    <t>Excavación a Mano S / Acarreo de zanja P/Tuberias electricas 3" PVC</t>
  </si>
  <si>
    <t>Excavación de Zanja con equipo</t>
  </si>
  <si>
    <t>Compactación Manual,  Zona  de Tubo  de 16" H.N.</t>
  </si>
  <si>
    <t>Compactacion C/Equipo de Mat. De Mina (Ver seccion zanja de tubos )</t>
  </si>
  <si>
    <t>Compactacion C/Rodillo doble tambor de material en calle</t>
  </si>
  <si>
    <t>Compactación Manual en zanja P/Tuberias electricas 3" PVC</t>
  </si>
  <si>
    <t xml:space="preserve">Bote de Material C / Equipos, contempla un 25% de esponjamiento </t>
  </si>
  <si>
    <t>Suministro Material  de  Mina, 20% de Abultamiento y 10% de Desp.</t>
  </si>
  <si>
    <t xml:space="preserve">Suministro de Arena, para colchon de tuberias, 10% de Abultamiento </t>
  </si>
  <si>
    <t>Suministro de  tierra negra</t>
  </si>
  <si>
    <t>HORMIGON  ARMADO</t>
  </si>
  <si>
    <t>Columnas  Rectangulares C2 (40x20) Cms</t>
  </si>
  <si>
    <t>Columnas Cuadradas C1 (20x20) Cms</t>
  </si>
  <si>
    <t>Viga Estructural V1-E</t>
  </si>
  <si>
    <t>Viga  de  Amarre (20x35) Cms SNP</t>
  </si>
  <si>
    <t>Viga  de  Amarre (20x20) Cms a NP</t>
  </si>
  <si>
    <t>Losa  Estructural  de  Techo e=12 Cms</t>
  </si>
  <si>
    <t>Losa Techo de Estructura de Block al lado de Transformadores e=10 Cms</t>
  </si>
  <si>
    <t>Uds</t>
  </si>
  <si>
    <t>Losa  Estructural piso Canaleta e=10 Cms</t>
  </si>
  <si>
    <t>Losa  Estructural piso de  Canaleta al lado de transformadores e=10 Cms</t>
  </si>
  <si>
    <t>Losa de Piso ( Chapapote ) e=10 Cms</t>
  </si>
  <si>
    <t>Tapas de canaleta al lado de transformadores e=10 Cms</t>
  </si>
  <si>
    <t>Ud</t>
  </si>
  <si>
    <t>Base para transformadores e=15 cms</t>
  </si>
  <si>
    <t>Zapatas  de  Muros 60x25 Cms</t>
  </si>
  <si>
    <t>Zapatas  de  Muros 45x25 Cms</t>
  </si>
  <si>
    <t>Zapatas de Columnas Z1</t>
  </si>
  <si>
    <t>Zapatas de Columnas Z2</t>
  </si>
  <si>
    <t>Estructura soporte de tuberia EMT</t>
  </si>
  <si>
    <t>Anclaje para codo de Ø 16"x90 de H. N. hormigon 210 kg/cm2</t>
  </si>
  <si>
    <t>MUROS DE MANPOSTERIA</t>
  </si>
  <si>
    <t>Muro de Bloques de 4" B.N.P.</t>
  </si>
  <si>
    <t>M2</t>
  </si>
  <si>
    <t>Muros de Bloques de 6" B.N.P. C/ Todo los huecos llenos en canaleta</t>
  </si>
  <si>
    <t xml:space="preserve">Muros de Bloques de 6" B.N.P. P/Malla ciclonica </t>
  </si>
  <si>
    <t>Muro de Bloques de 8" B.N.P.</t>
  </si>
  <si>
    <t>Muro de Bloques de 8" S.N.P.</t>
  </si>
  <si>
    <t>Antepecho de Blocks de 6"</t>
  </si>
  <si>
    <t>VERJA  DE  MALLA CICLONICA</t>
  </si>
  <si>
    <t xml:space="preserve">Verja Perimetral caseta de transformadores C/Alambre de trinchera </t>
  </si>
  <si>
    <t>Puerta  de  Malla  Ciclónica</t>
  </si>
  <si>
    <t xml:space="preserve">TERMINACIONES </t>
  </si>
  <si>
    <t>Pañete Liso en Muros Interiores</t>
  </si>
  <si>
    <t>Pañete Liso en Muros Exteriores</t>
  </si>
  <si>
    <t>Pañete de  Vigas</t>
  </si>
  <si>
    <t>Pañete de Techo</t>
  </si>
  <si>
    <t>Cantos</t>
  </si>
  <si>
    <t>Fraguache</t>
  </si>
  <si>
    <t>Zabaleta de mezcla</t>
  </si>
  <si>
    <t>Fino de Techo Plano</t>
  </si>
  <si>
    <t>Fino  de  Piso en area de bombas, estructura  Existente</t>
  </si>
  <si>
    <t>TERMINACIONES DE PISO</t>
  </si>
  <si>
    <t>Zócalos  de  Cerámica 33x7 Cms</t>
  </si>
  <si>
    <t>Piso Cerámica 33X33 Cms, Nacional</t>
  </si>
  <si>
    <t>PINTURAS</t>
  </si>
  <si>
    <t xml:space="preserve">Pintura  de  Muros Internos </t>
  </si>
  <si>
    <t>Pintura  de Vigas y Techos</t>
  </si>
  <si>
    <t>Pintura  de  Muros  Exteriores</t>
  </si>
  <si>
    <t>Pintura de Muros,Techo casa de guardian y techo (menor altura) casa de bomba existente</t>
  </si>
  <si>
    <t>Pintura  Muros y Techo de estructura  (casa de bomba existente)</t>
  </si>
  <si>
    <t>Pintura de Muros de verja existente (Planta electrica, verja perimetral)</t>
  </si>
  <si>
    <t>Pintura malla ciclonica</t>
  </si>
  <si>
    <t>Pintura estructura metalica verja perimetral al lado del embalse</t>
  </si>
  <si>
    <t>Pintura piezas de hierro casa bomba existente (incluye entrada a bombas)</t>
  </si>
  <si>
    <t>P.A</t>
  </si>
  <si>
    <t xml:space="preserve">Pintura blanca de transito p/ señalizacion </t>
  </si>
  <si>
    <t>Pintura amarilla de transito p/ contenes</t>
  </si>
  <si>
    <t>Impermeabilizante P/Techo</t>
  </si>
  <si>
    <t>PUERTAS Y VENTANAS</t>
  </si>
  <si>
    <t xml:space="preserve">Ventanas Correderas de Vidrio </t>
  </si>
  <si>
    <t>Pie²</t>
  </si>
  <si>
    <t>Puerta de Vidrio entrada principal</t>
  </si>
  <si>
    <t>Puerta de Vidrio entrada Posterior</t>
  </si>
  <si>
    <t>INSTALACIONES  SANITARIAS EN CASA DE GUARDIAN EXISTENTE</t>
  </si>
  <si>
    <t>Trampa  de  Grasa</t>
  </si>
  <si>
    <t>Cámara  de  Inspección ( C.I. )</t>
  </si>
  <si>
    <t>Tuberia de arrastre de Ø 4"</t>
  </si>
  <si>
    <t>INSTALACIONES  ELECTRICAS</t>
  </si>
  <si>
    <t>Caseta de Control</t>
  </si>
  <si>
    <t>Luces  Cenitales , Accesorios</t>
  </si>
  <si>
    <t>Luces Cenitales,Tubería y Alambrado</t>
  </si>
  <si>
    <t>Lampara de dos tubos Yaiming</t>
  </si>
  <si>
    <t>Interruptores  Sencillo , Accesorio</t>
  </si>
  <si>
    <t>Interruptor Senc.,Tubería y Alambrado</t>
  </si>
  <si>
    <t>Interruptores  3 Way , Accesorios</t>
  </si>
  <si>
    <t>Interruptor 3 Way,Tubería y Alambrado</t>
  </si>
  <si>
    <t>Tomacorriente  110 V , Accesorio</t>
  </si>
  <si>
    <t>Tomacorriente 110 V,Tubería y Alambrado</t>
  </si>
  <si>
    <t>Tomacorriente  220 V , Accesorio</t>
  </si>
  <si>
    <t>Tomacorriente 220 V,Tubería y Alambrado</t>
  </si>
  <si>
    <t>Registros  Electricos  8"x8"x½"</t>
  </si>
  <si>
    <t>Panel  de  Distribucción de 8 a 16 circuitos</t>
  </si>
  <si>
    <t>Suministro e Instalacion Aire acondicionado de 18000 BTU, Inverter</t>
  </si>
  <si>
    <t xml:space="preserve">Sub Estaciones  Electricas  </t>
  </si>
  <si>
    <t>Sub Estacion Electrica #1 que incluye 3 Transformadores tipo poste de 666KVA, cables, terminal, pararrayo, cut out, cable de cobre, varilla tierra bronce y estructura metalica de 8' pies de alto * 16 largo</t>
  </si>
  <si>
    <t xml:space="preserve">Conexión Sub Estacion Electrica #1 de 12.4 Kv a Sub Estacion 34 Kv </t>
  </si>
  <si>
    <t>Pl</t>
  </si>
  <si>
    <t>Conexión Sub Estacion Electrica #1 a Panel de control 1</t>
  </si>
  <si>
    <t>Sub Estacion Electrica #2 que incluye 3 Transformadores tipo poste de 666KVA, cables, terminal, pararrayo, cut out, cable de cobre, varilla tierra bronce y estructura metalica de 8' pies de alto * 16 largo</t>
  </si>
  <si>
    <t xml:space="preserve">Conexión Sub Estacion Electrica #2 de 12.4 Kv a Sub Estacion 34 Kv </t>
  </si>
  <si>
    <t>Conexión Sub Estacion Electrica #2 a Panel de control 2</t>
  </si>
  <si>
    <t>Mano de obra de instalacion</t>
  </si>
  <si>
    <t>%</t>
  </si>
  <si>
    <t>Conexiones de motores a Panel de Control</t>
  </si>
  <si>
    <t>Conexión de motor #1 a Panel de Control</t>
  </si>
  <si>
    <t>Conexión de motor #2 a Panel de Control</t>
  </si>
  <si>
    <t>Conexión de motor #3 a Panel de Control</t>
  </si>
  <si>
    <t>Conexión de motor #4 a Panel de Control</t>
  </si>
  <si>
    <t>Conexión de motor #5 a Panel de Control</t>
  </si>
  <si>
    <t>Conexión de motor #6 a Panel de Control</t>
  </si>
  <si>
    <t>Tuberia 3" PVC P/Cruce de cables electricos de caseta nueva a caseta de bombas existente</t>
  </si>
  <si>
    <t>Registro 60"x60"x18" y Canaleta metalica 16"x18" Nema 3 para soporte cables de conexiones de motores</t>
  </si>
  <si>
    <t>Iluminacion Exterior</t>
  </si>
  <si>
    <t xml:space="preserve">Iluminacion exterior en perfiles 4"x4"x19' </t>
  </si>
  <si>
    <t xml:space="preserve">Iluminacion exterior en pared, tipo secadoras </t>
  </si>
  <si>
    <t>Sustitucion Lamparas Led techo caseta de bombas existente</t>
  </si>
  <si>
    <t xml:space="preserve">Tuberia 3" PVC de registro electrico R2 a caseta nueva </t>
  </si>
  <si>
    <t>SUMINISTRO E INSTALACIONES  TUBERIA Y PIEZAS ESPECIALES</t>
  </si>
  <si>
    <t xml:space="preserve">Suministro e Instalacion tuberia 16" H. N. </t>
  </si>
  <si>
    <t xml:space="preserve">Colocación y Suministro de codos Ø 16"x90 de H. N. </t>
  </si>
  <si>
    <t>Suministro e Instalacion niple 16" H. N.  y  Junta Desmontaje</t>
  </si>
  <si>
    <t>Suministro e Instalacion niple 4" H. N.  Para ventosas</t>
  </si>
  <si>
    <t>Suministro e Instalacion niple 16" H. N. , Reducc de 16" a 12" e Instalacion Junta de desmontaje y  Junta Dresser para bombas existentes</t>
  </si>
  <si>
    <t>Suministro e Instalacion bridas ciegas de 12 " con juntas y tornillos</t>
  </si>
  <si>
    <t>Instalacion Valvula de Compuertas de 4"</t>
  </si>
  <si>
    <t>Instalacion Valvula de Compuertas de 16"(400mm)</t>
  </si>
  <si>
    <t>Instalacion Valvula de Retencion de 16"(400mm)</t>
  </si>
  <si>
    <t>Instalacion Valvulas de aire triple funcion de 4"(100mm) (ventosa)</t>
  </si>
  <si>
    <t>Instalacion Valvula Anticipadora de Onda de 16"(400mm)</t>
  </si>
  <si>
    <t>Instalacion Junta de desmontaje 16" (400mm)</t>
  </si>
  <si>
    <t xml:space="preserve">REGISTROS </t>
  </si>
  <si>
    <t xml:space="preserve">Registro de (1.40X1.40X0.80) mts  </t>
  </si>
  <si>
    <t xml:space="preserve">Registro de (0.80X.80X0.80) mts  </t>
  </si>
  <si>
    <t xml:space="preserve">Registro de (2.40X2.40X2.35) mts  </t>
  </si>
  <si>
    <t>MISCELANEOS</t>
  </si>
  <si>
    <t>Demolicion septico en area construccion caseta de control p/transformadores y trampa de grasa, camara de inspeccion existente en casa de guardia</t>
  </si>
  <si>
    <t>Hrs</t>
  </si>
  <si>
    <t xml:space="preserve">Construccion de soportes hormigon 180 kg/cm2 para niples de bombas existentes (0.20X0.40X0.20) mts </t>
  </si>
  <si>
    <t>Construccion de Aceras de 0.80 mts</t>
  </si>
  <si>
    <t>Reparacion de contenes</t>
  </si>
  <si>
    <t>Construccion de contenes C/telford</t>
  </si>
  <si>
    <t>Desmantelacion malla ciclonica en area transformadores existentes</t>
  </si>
  <si>
    <t>Transporte de transformadores a Nibaje</t>
  </si>
  <si>
    <t>Desmonte de postes electricos existentes</t>
  </si>
  <si>
    <t>Suministro y Colocacion grama en area verde</t>
  </si>
  <si>
    <t>Demolicion de estructuras de blocks y hormigon en area transformadores existentes</t>
  </si>
  <si>
    <t>Bote de Escombros C / Equipo</t>
  </si>
  <si>
    <t>Sustitucion de pasarela existente en tola a= 1.25 mt en casa de bombas</t>
  </si>
  <si>
    <t>Pruebas de compactacion</t>
  </si>
  <si>
    <t>Suministro e instalacion winch de 10 Ton en casa de bombas</t>
  </si>
  <si>
    <t>Ampliacion y resane hueco de bombas, ancho  de a=0.80 mt</t>
  </si>
  <si>
    <t>Asfaltado de calle 2"</t>
  </si>
  <si>
    <t>Construcción  de  Séptico; ancho de 1.40mts,largo 4.80 mts, profundidad 2.00mts</t>
  </si>
  <si>
    <t>Construcción  de  Filtrante; diametro de 1.50 mts y profundidad de 6.00 mts</t>
  </si>
  <si>
    <t>Equipos de seguridad laboral (Casco, Lentes y botas de seguridad, chalecos naranjas, guantes y respirador de particulas)</t>
  </si>
  <si>
    <t>Limpieza  Final</t>
  </si>
  <si>
    <t xml:space="preserve">SUB - TOTAL  </t>
  </si>
  <si>
    <t>INDIRECTOS</t>
  </si>
  <si>
    <t>Dirección  Técnica</t>
  </si>
  <si>
    <t>Gastos  Administrativos</t>
  </si>
  <si>
    <t>Imprevistos</t>
  </si>
  <si>
    <t>Seguros y  Fianzas</t>
  </si>
  <si>
    <t>Supervisión y Diseño</t>
  </si>
  <si>
    <t>Transporte</t>
  </si>
  <si>
    <t>ITBIS</t>
  </si>
  <si>
    <t>Ley  6 - 86</t>
  </si>
  <si>
    <t xml:space="preserve"> TOTAL  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</si>
</sst>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&quot;RD$&quot;* #,##0.00_);_(&quot;RD$&quot;* \(#,##0.00\);_(&quot;RD$&quot;* &quot;-&quot;??_);_(@_)"/>
    <numFmt numFmtId="167" formatCode="_-* #,##0.000_-;\-* #,##0.000_-;_-* &quot;-&quot;??_-;_-@_-"/>
    <numFmt numFmtId="168" formatCode="_-[$€]* #,##0.00_-;\-[$€]* #,##0.00_-;_-[$€]* &quot;-&quot;??_-;_-@_-"/>
    <numFmt numFmtId="169" formatCode="_-* #,##0.00\ _P_t_s_-;\-* #,##0.00\ _P_t_s_-;_-* &quot;-&quot;??\ _P_t_s_-;_-@_-"/>
    <numFmt numFmtId="170" formatCode="_-* #,##0.00\ &quot;Pts&quot;_-;\-* #,##0.00\ &quot;Pts&quot;_-;_-* &quot;-&quot;??\ &quot;Pts&quot;_-;_-@_-"/>
  </numFmts>
  <fonts count="25" x14ac:knownFonts="1">
    <font>
      <sz val="10"/>
      <name val="Arial"/>
      <family val="2"/>
    </font>
    <font>
      <sz val="10"/>
      <name val="Arial"/>
      <family val="2"/>
    </font>
    <font>
      <b/>
      <sz val="12"/>
      <color indexed="12"/>
      <name val="Book Antiqua"/>
      <family val="1"/>
    </font>
    <font>
      <b/>
      <sz val="10"/>
      <name val="Book Antiqua"/>
      <family val="1"/>
    </font>
    <font>
      <b/>
      <sz val="10"/>
      <name val="Arial"/>
      <family val="2"/>
    </font>
    <font>
      <b/>
      <sz val="11"/>
      <color rgb="FFFF0000"/>
      <name val="Book Antiqua"/>
      <family val="1"/>
    </font>
    <font>
      <b/>
      <u/>
      <sz val="10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1" applyNumberFormat="0" applyAlignment="0" applyProtection="0"/>
    <xf numFmtId="0" fontId="12" fillId="23" borderId="2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1" applyNumberFormat="0" applyAlignment="0" applyProtection="0"/>
    <xf numFmtId="0" fontId="19" fillId="0" borderId="6" applyNumberFormat="0" applyFill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0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8" fillId="25" borderId="7" applyNumberFormat="0" applyFont="0" applyAlignment="0" applyProtection="0"/>
    <xf numFmtId="0" fontId="21" fillId="22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/>
    <xf numFmtId="0" fontId="4" fillId="0" borderId="0" xfId="0" applyFont="1"/>
    <xf numFmtId="14" fontId="4" fillId="0" borderId="0" xfId="0" applyNumberFormat="1" applyFont="1"/>
    <xf numFmtId="0" fontId="4" fillId="2" borderId="0" xfId="0" applyFont="1" applyFill="1"/>
    <xf numFmtId="0" fontId="4" fillId="0" borderId="0" xfId="0" applyFont="1" applyAlignment="1">
      <alignment horizontal="center"/>
    </xf>
    <xf numFmtId="165" fontId="4" fillId="0" borderId="0" xfId="1" applyFont="1"/>
    <xf numFmtId="165" fontId="1" fillId="0" borderId="0" xfId="1" applyFont="1"/>
    <xf numFmtId="165" fontId="0" fillId="0" borderId="0" xfId="1" applyFont="1"/>
    <xf numFmtId="0" fontId="0" fillId="0" borderId="0" xfId="0" applyAlignment="1">
      <alignment horizontal="center"/>
    </xf>
    <xf numFmtId="166" fontId="0" fillId="0" borderId="0" xfId="2" applyNumberFormat="1" applyFont="1"/>
    <xf numFmtId="166" fontId="1" fillId="0" borderId="0" xfId="2" applyNumberFormat="1" applyFont="1" applyFill="1"/>
    <xf numFmtId="165" fontId="0" fillId="0" borderId="0" xfId="1" applyFont="1" applyAlignment="1">
      <alignment horizontal="center"/>
    </xf>
    <xf numFmtId="165" fontId="1" fillId="0" borderId="0" xfId="1" applyFont="1" applyFill="1"/>
    <xf numFmtId="0" fontId="0" fillId="0" borderId="0" xfId="0" applyAlignment="1">
      <alignment horizontal="left"/>
    </xf>
    <xf numFmtId="166" fontId="4" fillId="0" borderId="0" xfId="0" applyNumberFormat="1" applyFont="1"/>
    <xf numFmtId="165" fontId="0" fillId="0" borderId="0" xfId="1" applyFont="1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166" fontId="4" fillId="0" borderId="0" xfId="0" applyNumberFormat="1" applyFont="1" applyFill="1"/>
    <xf numFmtId="0" fontId="0" fillId="0" borderId="0" xfId="0" applyFill="1"/>
    <xf numFmtId="43" fontId="0" fillId="0" borderId="0" xfId="0" applyNumberFormat="1" applyFill="1"/>
    <xf numFmtId="43" fontId="0" fillId="0" borderId="0" xfId="0" applyNumberFormat="1"/>
    <xf numFmtId="0" fontId="0" fillId="0" borderId="0" xfId="0" applyFill="1" applyAlignment="1">
      <alignment horizontal="left" wrapText="1"/>
    </xf>
    <xf numFmtId="164" fontId="0" fillId="0" borderId="0" xfId="2" applyFont="1"/>
    <xf numFmtId="0" fontId="1" fillId="0" borderId="0" xfId="0" applyFont="1"/>
    <xf numFmtId="165" fontId="0" fillId="0" borderId="0" xfId="4" applyFont="1"/>
    <xf numFmtId="166" fontId="0" fillId="0" borderId="0" xfId="2" applyNumberFormat="1" applyFont="1" applyFill="1"/>
    <xf numFmtId="165" fontId="0" fillId="0" borderId="0" xfId="4" applyFont="1" applyFill="1"/>
    <xf numFmtId="165" fontId="0" fillId="0" borderId="0" xfId="4" applyFont="1" applyFill="1" applyAlignment="1">
      <alignment horizontal="center"/>
    </xf>
    <xf numFmtId="166" fontId="0" fillId="0" borderId="0" xfId="5" applyNumberFormat="1" applyFont="1"/>
    <xf numFmtId="166" fontId="1" fillId="0" borderId="0" xfId="5" applyNumberFormat="1" applyFont="1" applyFill="1"/>
    <xf numFmtId="165" fontId="0" fillId="0" borderId="0" xfId="1" applyFont="1" applyFill="1" applyAlignment="1">
      <alignment horizontal="center"/>
    </xf>
    <xf numFmtId="0" fontId="1" fillId="0" borderId="0" xfId="0" applyFont="1" applyAlignment="1">
      <alignment horizontal="left"/>
    </xf>
    <xf numFmtId="165" fontId="0" fillId="0" borderId="0" xfId="0" applyNumberFormat="1"/>
    <xf numFmtId="166" fontId="0" fillId="0" borderId="0" xfId="0" applyNumberFormat="1"/>
    <xf numFmtId="165" fontId="0" fillId="0" borderId="0" xfId="4" applyFont="1" applyAlignment="1">
      <alignment horizontal="center"/>
    </xf>
    <xf numFmtId="0" fontId="4" fillId="0" borderId="0" xfId="0" applyFont="1" applyFill="1" applyAlignment="1"/>
    <xf numFmtId="0" fontId="1" fillId="0" borderId="0" xfId="0" applyFont="1" applyAlignment="1">
      <alignment horizontal="center"/>
    </xf>
    <xf numFmtId="164" fontId="0" fillId="0" borderId="0" xfId="2" applyFont="1" applyFill="1"/>
    <xf numFmtId="0" fontId="6" fillId="0" borderId="0" xfId="0" applyFont="1"/>
    <xf numFmtId="0" fontId="7" fillId="0" borderId="0" xfId="0" applyFont="1"/>
    <xf numFmtId="167" fontId="0" fillId="0" borderId="0" xfId="1" applyNumberFormat="1" applyFont="1"/>
    <xf numFmtId="0" fontId="1" fillId="0" borderId="0" xfId="0" applyFont="1" applyFill="1"/>
    <xf numFmtId="166" fontId="1" fillId="0" borderId="0" xfId="0" applyNumberFormat="1" applyFont="1"/>
    <xf numFmtId="165" fontId="1" fillId="0" borderId="0" xfId="1" applyFont="1" applyAlignment="1">
      <alignment horizontal="center"/>
    </xf>
    <xf numFmtId="0" fontId="0" fillId="0" borderId="0" xfId="0" applyAlignment="1">
      <alignment wrapText="1"/>
    </xf>
    <xf numFmtId="166" fontId="1" fillId="0" borderId="0" xfId="6" applyFont="1" applyFill="1"/>
    <xf numFmtId="0" fontId="4" fillId="0" borderId="0" xfId="0" applyFont="1" applyFill="1"/>
    <xf numFmtId="165" fontId="1" fillId="0" borderId="0" xfId="1" applyFont="1" applyFill="1" applyAlignment="1">
      <alignment horizontal="center"/>
    </xf>
    <xf numFmtId="39" fontId="1" fillId="0" borderId="0" xfId="7" applyNumberFormat="1" applyFont="1"/>
    <xf numFmtId="0" fontId="1" fillId="0" borderId="0" xfId="0" applyFont="1" applyFill="1" applyAlignment="1">
      <alignment horizontal="center"/>
    </xf>
    <xf numFmtId="39" fontId="1" fillId="0" borderId="0" xfId="8" applyNumberFormat="1" applyFont="1"/>
    <xf numFmtId="2" fontId="0" fillId="0" borderId="0" xfId="0" applyNumberFormat="1" applyFill="1"/>
    <xf numFmtId="0" fontId="4" fillId="3" borderId="0" xfId="0" applyFont="1" applyFill="1"/>
    <xf numFmtId="0" fontId="0" fillId="3" borderId="0" xfId="0" applyFill="1"/>
    <xf numFmtId="166" fontId="4" fillId="3" borderId="0" xfId="0" applyNumberFormat="1" applyFont="1" applyFill="1"/>
    <xf numFmtId="10" fontId="1" fillId="0" borderId="0" xfId="3" applyNumberFormat="1" applyFont="1"/>
    <xf numFmtId="10" fontId="1" fillId="0" borderId="0" xfId="3" applyNumberFormat="1" applyFill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/>
    </xf>
    <xf numFmtId="0" fontId="1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66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uro" xfId="36"/>
    <cellStyle name="Euro 2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Millares" xfId="1" builtinId="3"/>
    <cellStyle name="Millares 2" xfId="46"/>
    <cellStyle name="Millares 2 2" xfId="8"/>
    <cellStyle name="Millares 2 4" xfId="7"/>
    <cellStyle name="Millares 2 5" xfId="47"/>
    <cellStyle name="Millares 3" xfId="4"/>
    <cellStyle name="Millares 4" xfId="48"/>
    <cellStyle name="Millares 4 2" xfId="49"/>
    <cellStyle name="Millares 5" xfId="50"/>
    <cellStyle name="Moneda" xfId="2" builtinId="4"/>
    <cellStyle name="Moneda 2" xfId="6"/>
    <cellStyle name="Moneda 2 2" xfId="51"/>
    <cellStyle name="Moneda 2 3" xfId="52"/>
    <cellStyle name="Moneda 3" xfId="5"/>
    <cellStyle name="Moneda 3 2" xfId="53"/>
    <cellStyle name="Moneda 4" xfId="54"/>
    <cellStyle name="Neutral 2" xfId="55"/>
    <cellStyle name="Normal" xfId="0" builtinId="0"/>
    <cellStyle name="Normal 2" xfId="56"/>
    <cellStyle name="Normal 2 2" xfId="57"/>
    <cellStyle name="Normal 3" xfId="58"/>
    <cellStyle name="Note" xfId="59"/>
    <cellStyle name="Output" xfId="60"/>
    <cellStyle name="Porcentaje" xfId="3" builtinId="5"/>
    <cellStyle name="Porcentaje 2" xfId="61"/>
    <cellStyle name="Porcentual 2" xfId="62"/>
    <cellStyle name="Title" xfId="63"/>
    <cellStyle name="Total 2" xfId="64"/>
    <cellStyle name="Warning Text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152400</xdr:rowOff>
    </xdr:from>
    <xdr:to>
      <xdr:col>2</xdr:col>
      <xdr:colOff>85725</xdr:colOff>
      <xdr:row>5</xdr:row>
      <xdr:rowOff>114300</xdr:rowOff>
    </xdr:to>
    <xdr:pic>
      <xdr:nvPicPr>
        <xdr:cNvPr id="2" name="Picture 3" descr="Logo Coraasa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52400"/>
          <a:ext cx="9810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0</xdr:row>
      <xdr:rowOff>152400</xdr:rowOff>
    </xdr:from>
    <xdr:to>
      <xdr:col>2</xdr:col>
      <xdr:colOff>85725</xdr:colOff>
      <xdr:row>5</xdr:row>
      <xdr:rowOff>114300</xdr:rowOff>
    </xdr:to>
    <xdr:pic>
      <xdr:nvPicPr>
        <xdr:cNvPr id="3" name="Picture 4" descr="Logo Coraasa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52400"/>
          <a:ext cx="9810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polanco/AppData/Local/Microsoft/Windows/INetCache/Content.Outlook/69VHLLHZ/Caseta%20para%20Transformadores%20en%20lope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PLIEGO"/>
      <sheetName val="Analisis de Costos 1"/>
      <sheetName val="Analisis de Costos 2"/>
      <sheetName val="PRESUPUESTO"/>
      <sheetName val="ANALISIS"/>
      <sheetName val="DEPRECIACIONES"/>
      <sheetName val="REGISTRO VENTOSA"/>
    </sheetNames>
    <sheetDataSet>
      <sheetData sheetId="0" refreshError="1"/>
      <sheetData sheetId="1" refreshError="1"/>
      <sheetData sheetId="2">
        <row r="1099">
          <cell r="F1099">
            <v>45217.8272</v>
          </cell>
        </row>
      </sheetData>
      <sheetData sheetId="3" refreshError="1"/>
      <sheetData sheetId="4">
        <row r="27">
          <cell r="F27">
            <v>109.76542214559386</v>
          </cell>
        </row>
        <row r="2555">
          <cell r="D2555">
            <v>520</v>
          </cell>
        </row>
        <row r="2575">
          <cell r="D2575">
            <v>500</v>
          </cell>
        </row>
        <row r="3126">
          <cell r="G3126">
            <v>22.5</v>
          </cell>
        </row>
      </sheetData>
      <sheetData sheetId="5" refreshError="1"/>
      <sheetData sheetId="6">
        <row r="44">
          <cell r="H44">
            <v>106932.90129999998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3"/>
  <sheetViews>
    <sheetView tabSelected="1" topLeftCell="A278" zoomScaleNormal="100" workbookViewId="0">
      <selection activeCell="D307" sqref="D307"/>
    </sheetView>
  </sheetViews>
  <sheetFormatPr baseColWidth="10" defaultRowHeight="12.75" x14ac:dyDescent="0.2"/>
  <cols>
    <col min="1" max="1" width="8" customWidth="1"/>
    <col min="3" max="3" width="24.42578125" customWidth="1"/>
    <col min="4" max="4" width="9.28515625" customWidth="1"/>
    <col min="5" max="5" width="6.85546875" customWidth="1"/>
    <col min="6" max="6" width="18.28515625" customWidth="1"/>
    <col min="7" max="7" width="19.85546875" customWidth="1"/>
    <col min="8" max="8" width="18.5703125" customWidth="1"/>
    <col min="9" max="9" width="18.7109375" customWidth="1"/>
  </cols>
  <sheetData>
    <row r="2" spans="1:9" ht="16.5" x14ac:dyDescent="0.3">
      <c r="A2" s="1"/>
      <c r="B2" s="1"/>
      <c r="C2" s="73" t="s">
        <v>0</v>
      </c>
      <c r="D2" s="73"/>
      <c r="E2" s="73"/>
      <c r="F2" s="73"/>
      <c r="G2" s="73"/>
      <c r="H2" s="73"/>
    </row>
    <row r="3" spans="1:9" ht="16.5" x14ac:dyDescent="0.3">
      <c r="A3" s="1"/>
      <c r="B3" s="1"/>
      <c r="C3" s="73" t="s">
        <v>1</v>
      </c>
      <c r="D3" s="73"/>
      <c r="E3" s="73"/>
      <c r="F3" s="73"/>
      <c r="G3" s="73"/>
      <c r="H3" s="73"/>
    </row>
    <row r="4" spans="1:9" ht="16.5" x14ac:dyDescent="0.3">
      <c r="A4" s="1"/>
      <c r="B4" s="1"/>
      <c r="C4" s="73" t="s">
        <v>2</v>
      </c>
      <c r="D4" s="73"/>
      <c r="E4" s="73"/>
      <c r="F4" s="73"/>
      <c r="G4" s="73"/>
      <c r="H4" s="73"/>
    </row>
    <row r="5" spans="1:9" ht="16.5" x14ac:dyDescent="0.3">
      <c r="A5" s="1"/>
      <c r="B5" s="1"/>
      <c r="C5" s="73" t="s">
        <v>3</v>
      </c>
      <c r="D5" s="73"/>
      <c r="E5" s="73"/>
      <c r="F5" s="73"/>
      <c r="G5" s="73"/>
      <c r="H5" s="73"/>
    </row>
    <row r="6" spans="1:9" ht="15" x14ac:dyDescent="0.3">
      <c r="A6" s="59"/>
      <c r="B6" s="59"/>
      <c r="C6" s="59"/>
      <c r="D6" s="59"/>
      <c r="E6" s="59"/>
      <c r="F6" s="59"/>
      <c r="G6" s="59"/>
      <c r="H6" s="59"/>
    </row>
    <row r="7" spans="1:9" x14ac:dyDescent="0.2">
      <c r="B7" s="2" t="s">
        <v>4</v>
      </c>
      <c r="C7" s="2" t="s">
        <v>5</v>
      </c>
    </row>
    <row r="8" spans="1:9" x14ac:dyDescent="0.2">
      <c r="H8" s="3">
        <v>43124</v>
      </c>
      <c r="I8" s="3"/>
    </row>
    <row r="9" spans="1:9" x14ac:dyDescent="0.2">
      <c r="B9" s="2" t="s">
        <v>6</v>
      </c>
      <c r="C9" s="2" t="s">
        <v>7</v>
      </c>
    </row>
    <row r="11" spans="1:9" x14ac:dyDescent="0.2">
      <c r="B11" s="2" t="s">
        <v>8</v>
      </c>
      <c r="D11" s="4" t="s">
        <v>9</v>
      </c>
    </row>
    <row r="13" spans="1:9" ht="15" x14ac:dyDescent="0.25">
      <c r="A13" s="74"/>
      <c r="B13" s="74"/>
      <c r="C13" s="74"/>
      <c r="D13" s="74"/>
      <c r="E13" s="74"/>
      <c r="F13" s="74"/>
      <c r="G13" s="74"/>
      <c r="H13" s="74"/>
    </row>
    <row r="14" spans="1:9" x14ac:dyDescent="0.2">
      <c r="A14" s="5" t="s">
        <v>10</v>
      </c>
      <c r="B14" s="72" t="s">
        <v>11</v>
      </c>
      <c r="C14" s="72"/>
      <c r="D14" s="5" t="s">
        <v>12</v>
      </c>
      <c r="E14" s="5" t="s">
        <v>13</v>
      </c>
      <c r="F14" s="5" t="s">
        <v>14</v>
      </c>
      <c r="G14" s="5" t="s">
        <v>15</v>
      </c>
      <c r="H14" s="5" t="s">
        <v>16</v>
      </c>
    </row>
    <row r="16" spans="1:9" x14ac:dyDescent="0.2">
      <c r="A16" s="6">
        <v>1</v>
      </c>
      <c r="B16" s="67" t="s">
        <v>17</v>
      </c>
      <c r="C16" s="67"/>
    </row>
    <row r="18" spans="1:8" x14ac:dyDescent="0.2">
      <c r="A18" s="7">
        <v>1.01</v>
      </c>
      <c r="B18" t="s">
        <v>18</v>
      </c>
      <c r="D18" s="8">
        <f>9.7*2+5.4*2+5+12.5+3.5+1</f>
        <v>52.2</v>
      </c>
      <c r="E18" s="9" t="s">
        <v>19</v>
      </c>
      <c r="F18" s="10">
        <v>0</v>
      </c>
      <c r="G18" s="11">
        <f>F18*D18</f>
        <v>0</v>
      </c>
    </row>
    <row r="19" spans="1:8" x14ac:dyDescent="0.2">
      <c r="A19" s="7">
        <v>1.02</v>
      </c>
      <c r="B19" t="s">
        <v>20</v>
      </c>
      <c r="D19" s="8">
        <v>30</v>
      </c>
      <c r="E19" s="12" t="s">
        <v>19</v>
      </c>
      <c r="F19" s="10">
        <v>0</v>
      </c>
      <c r="G19" s="11">
        <f>F19*D19</f>
        <v>0</v>
      </c>
    </row>
    <row r="20" spans="1:8" x14ac:dyDescent="0.2">
      <c r="A20" s="7">
        <v>1.03</v>
      </c>
      <c r="B20" s="62" t="s">
        <v>21</v>
      </c>
      <c r="C20" s="62"/>
      <c r="D20" s="13">
        <f>ROUND(3108.21*0.1, 2)</f>
        <v>310.82</v>
      </c>
      <c r="E20" s="9" t="s">
        <v>22</v>
      </c>
      <c r="F20" s="10">
        <v>0</v>
      </c>
      <c r="G20" s="11">
        <f>F20*D20</f>
        <v>0</v>
      </c>
    </row>
    <row r="21" spans="1:8" x14ac:dyDescent="0.2">
      <c r="A21" s="7"/>
      <c r="B21" s="14"/>
      <c r="C21" s="14"/>
      <c r="D21" s="8"/>
      <c r="E21" s="9"/>
      <c r="F21" s="10"/>
      <c r="G21" s="11"/>
      <c r="H21" s="15">
        <f>SUM(G18:G20)</f>
        <v>0</v>
      </c>
    </row>
    <row r="22" spans="1:8" x14ac:dyDescent="0.2">
      <c r="A22" s="7"/>
    </row>
    <row r="23" spans="1:8" x14ac:dyDescent="0.2">
      <c r="A23" s="6">
        <v>2</v>
      </c>
      <c r="B23" s="71" t="s">
        <v>23</v>
      </c>
      <c r="C23" s="71"/>
      <c r="D23" s="61"/>
      <c r="E23" s="61"/>
      <c r="F23" s="61"/>
      <c r="H23" s="15"/>
    </row>
    <row r="24" spans="1:8" x14ac:dyDescent="0.2">
      <c r="B24" s="14"/>
      <c r="C24" s="14"/>
      <c r="H24" s="15"/>
    </row>
    <row r="25" spans="1:8" x14ac:dyDescent="0.2">
      <c r="A25" s="8">
        <v>2.0099999999999998</v>
      </c>
      <c r="B25" s="70" t="s">
        <v>24</v>
      </c>
      <c r="C25" s="62"/>
      <c r="D25" s="16">
        <f>ROUND(10.1*9.8*1, 2)</f>
        <v>98.98</v>
      </c>
      <c r="E25" s="9" t="s">
        <v>22</v>
      </c>
      <c r="F25" s="10">
        <v>0</v>
      </c>
      <c r="G25" s="11">
        <f t="shared" ref="G25:G48" si="0">F25*D25</f>
        <v>0</v>
      </c>
      <c r="H25" s="15"/>
    </row>
    <row r="26" spans="1:8" x14ac:dyDescent="0.2">
      <c r="A26" s="8">
        <v>2.02</v>
      </c>
      <c r="B26" s="60" t="s">
        <v>25</v>
      </c>
      <c r="C26" s="61"/>
      <c r="D26" s="16">
        <f>ROUND(30*1*2, 2)</f>
        <v>60</v>
      </c>
      <c r="E26" s="9" t="s">
        <v>22</v>
      </c>
      <c r="F26" s="10">
        <v>0</v>
      </c>
      <c r="G26" s="11">
        <f>F26*D26</f>
        <v>0</v>
      </c>
      <c r="H26" s="15"/>
    </row>
    <row r="27" spans="1:8" x14ac:dyDescent="0.2">
      <c r="A27" s="8"/>
      <c r="B27" s="61"/>
      <c r="C27" s="61"/>
      <c r="D27" s="16"/>
      <c r="E27" s="9"/>
      <c r="F27" s="10"/>
      <c r="H27" s="15"/>
    </row>
    <row r="28" spans="1:8" x14ac:dyDescent="0.2">
      <c r="A28" s="8">
        <v>2.0299999999999998</v>
      </c>
      <c r="B28" s="65" t="s">
        <v>26</v>
      </c>
      <c r="C28" s="66"/>
      <c r="D28" s="16">
        <f>ROUND(17.89*4.5*1.5, 2)</f>
        <v>120.76</v>
      </c>
      <c r="E28" s="9" t="s">
        <v>22</v>
      </c>
      <c r="F28" s="10">
        <v>0</v>
      </c>
      <c r="G28" s="11">
        <f t="shared" si="0"/>
        <v>0</v>
      </c>
      <c r="H28" s="15"/>
    </row>
    <row r="29" spans="1:8" x14ac:dyDescent="0.2">
      <c r="A29" s="8"/>
      <c r="B29" s="66"/>
      <c r="C29" s="66"/>
      <c r="E29" s="9"/>
      <c r="F29" s="10"/>
      <c r="G29" s="11"/>
      <c r="H29" s="15"/>
    </row>
    <row r="30" spans="1:8" x14ac:dyDescent="0.2">
      <c r="A30" s="8"/>
      <c r="B30" s="66"/>
      <c r="C30" s="66"/>
      <c r="E30" s="9"/>
      <c r="F30" s="10"/>
      <c r="G30" s="11"/>
      <c r="H30" s="15"/>
    </row>
    <row r="31" spans="1:8" x14ac:dyDescent="0.2">
      <c r="A31" s="8">
        <v>2.04</v>
      </c>
      <c r="B31" s="65" t="s">
        <v>27</v>
      </c>
      <c r="C31" s="66"/>
      <c r="D31" s="16">
        <f>ROUND(0.5*0.6*(28.8+4.5+6+1.8+1), 2)</f>
        <v>12.63</v>
      </c>
      <c r="E31" s="9" t="s">
        <v>22</v>
      </c>
      <c r="F31" s="10">
        <v>0</v>
      </c>
      <c r="G31" s="11">
        <f t="shared" si="0"/>
        <v>0</v>
      </c>
      <c r="H31" s="15"/>
    </row>
    <row r="32" spans="1:8" x14ac:dyDescent="0.2">
      <c r="A32" s="8"/>
      <c r="B32" s="66"/>
      <c r="C32" s="66"/>
      <c r="E32" s="9"/>
      <c r="F32" s="10"/>
      <c r="G32" s="11"/>
      <c r="H32" s="15"/>
    </row>
    <row r="33" spans="1:9" s="20" customFormat="1" x14ac:dyDescent="0.2">
      <c r="A33" s="13">
        <v>2.0499999999999998</v>
      </c>
      <c r="B33" s="17" t="s">
        <v>28</v>
      </c>
      <c r="C33" s="23"/>
      <c r="D33" s="13">
        <f>ROUND(1*1.7*30, 2)</f>
        <v>51</v>
      </c>
      <c r="E33" s="18" t="s">
        <v>22</v>
      </c>
      <c r="F33" s="11">
        <v>0</v>
      </c>
      <c r="G33" s="11">
        <f t="shared" si="0"/>
        <v>0</v>
      </c>
      <c r="H33" s="19"/>
    </row>
    <row r="34" spans="1:9" x14ac:dyDescent="0.2">
      <c r="A34" s="8">
        <v>2.06</v>
      </c>
      <c r="B34" s="60" t="s">
        <v>29</v>
      </c>
      <c r="C34" s="61"/>
      <c r="D34" s="16">
        <f>ROUND(30*0.1*1+(30*1*0.4-30*3.14*0.4*0.4/4), 2)</f>
        <v>11.23</v>
      </c>
      <c r="E34" s="9" t="s">
        <v>22</v>
      </c>
      <c r="F34" s="10">
        <v>0</v>
      </c>
      <c r="G34" s="11">
        <f t="shared" si="0"/>
        <v>0</v>
      </c>
      <c r="H34" s="15"/>
    </row>
    <row r="35" spans="1:9" x14ac:dyDescent="0.2">
      <c r="A35" s="8"/>
      <c r="B35" s="61"/>
      <c r="C35" s="61"/>
      <c r="D35" s="16"/>
      <c r="E35" s="9"/>
      <c r="F35" s="10"/>
      <c r="G35" s="11"/>
      <c r="H35" s="15"/>
    </row>
    <row r="36" spans="1:9" x14ac:dyDescent="0.2">
      <c r="A36" s="8">
        <v>2.0699999999999998</v>
      </c>
      <c r="B36" s="65" t="s">
        <v>30</v>
      </c>
      <c r="C36" s="66"/>
      <c r="D36" s="13">
        <f>ROUND((D25+D28+(30*1*1.9)), 2)</f>
        <v>276.74</v>
      </c>
      <c r="E36" s="9" t="s">
        <v>22</v>
      </c>
      <c r="F36" s="10">
        <v>0</v>
      </c>
      <c r="G36" s="11">
        <f t="shared" si="0"/>
        <v>0</v>
      </c>
      <c r="I36" s="16">
        <f>ROUND((10.1*9.8*1+0.5*0.6*42.1)*1.3, 2)</f>
        <v>145.09</v>
      </c>
    </row>
    <row r="37" spans="1:9" x14ac:dyDescent="0.2">
      <c r="A37" s="8"/>
      <c r="B37" s="66"/>
      <c r="C37" s="66"/>
      <c r="D37" s="13"/>
      <c r="E37" s="9"/>
      <c r="F37" s="10"/>
      <c r="G37" s="11"/>
      <c r="I37" s="16"/>
    </row>
    <row r="38" spans="1:9" x14ac:dyDescent="0.2">
      <c r="A38" s="7">
        <v>2.08</v>
      </c>
      <c r="B38" s="65" t="s">
        <v>31</v>
      </c>
      <c r="C38" s="66"/>
      <c r="D38" s="13">
        <f>560*0.1</f>
        <v>56</v>
      </c>
      <c r="E38" s="9" t="s">
        <v>22</v>
      </c>
      <c r="F38" s="10">
        <v>0</v>
      </c>
      <c r="G38" s="11">
        <f t="shared" si="0"/>
        <v>0</v>
      </c>
      <c r="I38" s="16"/>
    </row>
    <row r="39" spans="1:9" x14ac:dyDescent="0.2">
      <c r="A39" s="8"/>
      <c r="B39" s="66"/>
      <c r="C39" s="66"/>
      <c r="D39" s="13"/>
      <c r="E39" s="9"/>
      <c r="F39" s="10"/>
      <c r="G39" s="11"/>
      <c r="I39" s="16"/>
    </row>
    <row r="40" spans="1:9" x14ac:dyDescent="0.2">
      <c r="A40" s="7">
        <v>2.09</v>
      </c>
      <c r="B40" s="60" t="s">
        <v>32</v>
      </c>
      <c r="C40" s="61"/>
      <c r="D40" s="16">
        <f>ROUND(D31-3.14*42.1*0.08*0.08/4,2)</f>
        <v>12.42</v>
      </c>
      <c r="E40" s="9" t="s">
        <v>22</v>
      </c>
      <c r="F40" s="10">
        <v>0</v>
      </c>
      <c r="G40" s="11">
        <f t="shared" si="0"/>
        <v>0</v>
      </c>
      <c r="H40" s="16"/>
    </row>
    <row r="41" spans="1:9" x14ac:dyDescent="0.2">
      <c r="A41" s="7"/>
      <c r="B41" s="61"/>
      <c r="C41" s="61"/>
      <c r="D41" s="16"/>
      <c r="E41" s="9"/>
      <c r="F41" s="10"/>
      <c r="G41" s="11"/>
      <c r="H41" s="16"/>
    </row>
    <row r="42" spans="1:9" x14ac:dyDescent="0.2">
      <c r="A42" s="7">
        <v>2.1</v>
      </c>
      <c r="B42" s="65" t="s">
        <v>33</v>
      </c>
      <c r="C42" s="66"/>
      <c r="D42">
        <f>(D25+D28+D20+D33+D31)*1.25</f>
        <v>742.73749999999995</v>
      </c>
      <c r="E42" s="9" t="s">
        <v>22</v>
      </c>
      <c r="F42" s="10">
        <v>0</v>
      </c>
      <c r="G42" s="11">
        <f t="shared" si="0"/>
        <v>0</v>
      </c>
      <c r="H42" s="15"/>
    </row>
    <row r="43" spans="1:9" x14ac:dyDescent="0.2">
      <c r="A43" s="8"/>
      <c r="B43" s="66"/>
      <c r="C43" s="66"/>
      <c r="E43" s="9"/>
      <c r="F43" s="10"/>
      <c r="G43" s="11"/>
      <c r="H43" s="15"/>
    </row>
    <row r="44" spans="1:9" x14ac:dyDescent="0.2">
      <c r="A44" s="7">
        <v>2.11</v>
      </c>
      <c r="B44" s="65" t="s">
        <v>34</v>
      </c>
      <c r="C44" s="66"/>
      <c r="D44" s="21">
        <f>ROUND((D40+D36+ (40*1.9-40*3.14*0.4*0.4/4))*1.3,2)</f>
        <v>468.18</v>
      </c>
      <c r="E44" s="9" t="s">
        <v>22</v>
      </c>
      <c r="F44" s="10">
        <v>0</v>
      </c>
      <c r="G44" s="11">
        <f t="shared" si="0"/>
        <v>0</v>
      </c>
      <c r="H44" s="15"/>
    </row>
    <row r="45" spans="1:9" x14ac:dyDescent="0.2">
      <c r="A45" s="7"/>
      <c r="B45" s="66"/>
      <c r="C45" s="66"/>
      <c r="D45" s="22"/>
      <c r="E45" s="9"/>
      <c r="F45" s="10"/>
      <c r="G45" s="11"/>
      <c r="H45" s="15"/>
    </row>
    <row r="46" spans="1:9" x14ac:dyDescent="0.2">
      <c r="A46" s="7">
        <v>2.12</v>
      </c>
      <c r="B46" s="68" t="s">
        <v>35</v>
      </c>
      <c r="C46" s="69"/>
      <c r="D46" s="13">
        <f>ROUND((30*1+42.1*0.5)*(0.1*1.1), 2)</f>
        <v>5.62</v>
      </c>
      <c r="E46" s="9" t="s">
        <v>22</v>
      </c>
      <c r="F46" s="10">
        <v>0</v>
      </c>
      <c r="G46" s="11">
        <f t="shared" si="0"/>
        <v>0</v>
      </c>
      <c r="H46" s="15"/>
    </row>
    <row r="47" spans="1:9" x14ac:dyDescent="0.2">
      <c r="A47" s="7"/>
      <c r="B47" s="69"/>
      <c r="C47" s="69"/>
      <c r="D47" s="21"/>
      <c r="E47" s="9"/>
      <c r="F47" s="10"/>
      <c r="G47" s="11"/>
      <c r="H47" s="15"/>
    </row>
    <row r="48" spans="1:9" x14ac:dyDescent="0.2">
      <c r="A48" s="7">
        <v>2.13</v>
      </c>
      <c r="B48" s="70" t="s">
        <v>36</v>
      </c>
      <c r="C48" s="62"/>
      <c r="D48" s="16">
        <f>ROUND(3108.21*0.1, 2)</f>
        <v>310.82</v>
      </c>
      <c r="E48" s="9" t="s">
        <v>22</v>
      </c>
      <c r="F48" s="11">
        <v>0</v>
      </c>
      <c r="G48" s="11">
        <f t="shared" si="0"/>
        <v>0</v>
      </c>
    </row>
    <row r="49" spans="1:8" x14ac:dyDescent="0.2">
      <c r="A49" s="7"/>
      <c r="H49" s="15">
        <f>SUM(G25:G48)</f>
        <v>0</v>
      </c>
    </row>
    <row r="50" spans="1:8" x14ac:dyDescent="0.2">
      <c r="A50" s="7"/>
      <c r="H50" s="15"/>
    </row>
    <row r="51" spans="1:8" x14ac:dyDescent="0.2">
      <c r="A51" s="6">
        <v>3</v>
      </c>
      <c r="B51" s="67" t="s">
        <v>37</v>
      </c>
      <c r="C51" s="67"/>
      <c r="D51" s="8"/>
      <c r="E51" s="9"/>
      <c r="F51" s="24"/>
      <c r="G51" s="24"/>
    </row>
    <row r="52" spans="1:8" x14ac:dyDescent="0.2">
      <c r="D52" s="8"/>
      <c r="E52" s="9"/>
      <c r="F52" s="24"/>
      <c r="G52" s="24"/>
    </row>
    <row r="53" spans="1:8" x14ac:dyDescent="0.2">
      <c r="A53" s="8">
        <v>3.01</v>
      </c>
      <c r="B53" s="25" t="s">
        <v>38</v>
      </c>
      <c r="D53" s="16">
        <f>ROUND(0.4*0.2*4.18*2, 2)</f>
        <v>0.67</v>
      </c>
      <c r="E53" s="9" t="s">
        <v>22</v>
      </c>
      <c r="F53" s="10">
        <v>0</v>
      </c>
      <c r="G53" s="11">
        <f>F53*D53</f>
        <v>0</v>
      </c>
    </row>
    <row r="54" spans="1:8" x14ac:dyDescent="0.2">
      <c r="A54" s="26">
        <v>3.02</v>
      </c>
      <c r="B54" s="25" t="s">
        <v>39</v>
      </c>
      <c r="D54" s="16">
        <f>ROUND(0.2*0.2*4.18*4, 2)</f>
        <v>0.67</v>
      </c>
      <c r="E54" s="9" t="s">
        <v>22</v>
      </c>
      <c r="F54" s="10">
        <v>0</v>
      </c>
      <c r="G54" s="11">
        <f t="shared" ref="G54:G73" si="1">F54*D54</f>
        <v>0</v>
      </c>
    </row>
    <row r="55" spans="1:8" x14ac:dyDescent="0.2">
      <c r="A55" s="8">
        <v>3.03</v>
      </c>
      <c r="B55" t="s">
        <v>40</v>
      </c>
      <c r="D55" s="16">
        <f>ROUND(0.2*0.4*5.4, 2)</f>
        <v>0.43</v>
      </c>
      <c r="E55" s="9" t="s">
        <v>22</v>
      </c>
      <c r="F55" s="10">
        <v>0</v>
      </c>
      <c r="G55" s="11">
        <f t="shared" si="1"/>
        <v>0</v>
      </c>
    </row>
    <row r="56" spans="1:8" x14ac:dyDescent="0.2">
      <c r="A56" s="26">
        <v>3.04</v>
      </c>
      <c r="B56" s="25" t="s">
        <v>41</v>
      </c>
      <c r="D56" s="16">
        <f>ROUND(0.2*0.35*18.8, 2)</f>
        <v>1.32</v>
      </c>
      <c r="E56" s="9" t="s">
        <v>22</v>
      </c>
      <c r="F56" s="10">
        <v>0</v>
      </c>
      <c r="G56" s="11">
        <f t="shared" si="1"/>
        <v>0</v>
      </c>
    </row>
    <row r="57" spans="1:8" x14ac:dyDescent="0.2">
      <c r="A57" s="8">
        <v>3.05</v>
      </c>
      <c r="B57" s="25" t="s">
        <v>42</v>
      </c>
      <c r="D57" s="16">
        <f>ROUND(0.2*0.2*28.8, 2)</f>
        <v>1.1499999999999999</v>
      </c>
      <c r="E57" s="9" t="s">
        <v>22</v>
      </c>
      <c r="F57" s="10">
        <v>0</v>
      </c>
      <c r="G57" s="11">
        <f t="shared" si="1"/>
        <v>0</v>
      </c>
    </row>
    <row r="58" spans="1:8" x14ac:dyDescent="0.2">
      <c r="A58" s="26">
        <v>3.06</v>
      </c>
      <c r="B58" s="25" t="s">
        <v>43</v>
      </c>
      <c r="D58" s="16">
        <f>ROUND(6*9*0.12, 2)</f>
        <v>6.48</v>
      </c>
      <c r="E58" s="9" t="s">
        <v>22</v>
      </c>
      <c r="F58" s="27">
        <v>0</v>
      </c>
      <c r="G58" s="11">
        <f>F58*D58</f>
        <v>0</v>
      </c>
    </row>
    <row r="59" spans="1:8" x14ac:dyDescent="0.2">
      <c r="A59" s="8">
        <v>3.07</v>
      </c>
      <c r="B59" s="60" t="s">
        <v>44</v>
      </c>
      <c r="C59" s="61"/>
      <c r="D59" s="28">
        <v>2</v>
      </c>
      <c r="E59" s="29" t="s">
        <v>45</v>
      </c>
      <c r="F59" s="30">
        <v>0</v>
      </c>
      <c r="G59" s="31">
        <f>F59*D59</f>
        <v>0</v>
      </c>
    </row>
    <row r="60" spans="1:8" x14ac:dyDescent="0.2">
      <c r="A60" s="26"/>
      <c r="B60" s="61"/>
      <c r="C60" s="61"/>
      <c r="D60" s="28"/>
      <c r="E60" s="29"/>
      <c r="F60" s="30"/>
      <c r="G60" s="31"/>
    </row>
    <row r="61" spans="1:8" x14ac:dyDescent="0.2">
      <c r="A61" s="8">
        <v>3.08</v>
      </c>
      <c r="B61" s="25" t="s">
        <v>46</v>
      </c>
      <c r="D61" s="28">
        <f>ROUND((8.4*1.3*0.1*2+2.7*0.7*0.1+0.9*0.9*0.1+1*1*0.1), 2)</f>
        <v>2.5499999999999998</v>
      </c>
      <c r="E61" s="32" t="s">
        <v>22</v>
      </c>
      <c r="F61" s="10">
        <v>0</v>
      </c>
      <c r="G61" s="11">
        <f>F61*D61</f>
        <v>0</v>
      </c>
    </row>
    <row r="62" spans="1:8" x14ac:dyDescent="0.2">
      <c r="A62" s="8">
        <v>3.09</v>
      </c>
      <c r="B62" s="60" t="s">
        <v>47</v>
      </c>
      <c r="C62" s="61"/>
      <c r="D62" s="16">
        <f>ROUND(6*1.3*0.1*2, 2)</f>
        <v>1.56</v>
      </c>
      <c r="E62" s="32" t="s">
        <v>22</v>
      </c>
      <c r="F62" s="10">
        <v>0</v>
      </c>
      <c r="G62" s="11">
        <f>F62*D62</f>
        <v>0</v>
      </c>
    </row>
    <row r="63" spans="1:8" x14ac:dyDescent="0.2">
      <c r="A63" s="8"/>
      <c r="B63" s="61"/>
      <c r="C63" s="61"/>
      <c r="D63" s="16"/>
      <c r="E63" s="32"/>
      <c r="F63" s="10"/>
      <c r="G63" s="11"/>
    </row>
    <row r="64" spans="1:8" x14ac:dyDescent="0.2">
      <c r="A64" s="8">
        <v>3.1</v>
      </c>
      <c r="B64" s="70" t="s">
        <v>48</v>
      </c>
      <c r="C64" s="62"/>
      <c r="D64" s="28">
        <f>ROUND((8.4*1.35*0.1*3+1*5.4*0.1*2+1*5.4*0.1+1.8*0.3*0.1+0.9*0.3*0.1),2)</f>
        <v>5.0999999999999996</v>
      </c>
      <c r="E64" s="32" t="s">
        <v>22</v>
      </c>
      <c r="F64" s="10">
        <v>0</v>
      </c>
      <c r="G64" s="11">
        <f>F64*D64</f>
        <v>0</v>
      </c>
    </row>
    <row r="65" spans="1:8" x14ac:dyDescent="0.2">
      <c r="A65" s="8">
        <v>3.11</v>
      </c>
      <c r="B65" s="65" t="s">
        <v>49</v>
      </c>
      <c r="C65" s="66"/>
      <c r="D65" s="16">
        <v>5</v>
      </c>
      <c r="E65" s="32" t="s">
        <v>50</v>
      </c>
      <c r="F65" s="10">
        <v>0</v>
      </c>
      <c r="G65" s="11">
        <f>F65*D65</f>
        <v>0</v>
      </c>
    </row>
    <row r="66" spans="1:8" x14ac:dyDescent="0.2">
      <c r="A66" s="8"/>
      <c r="B66" s="66"/>
      <c r="C66" s="66"/>
      <c r="D66" s="16"/>
      <c r="E66" s="32"/>
      <c r="F66" s="10"/>
      <c r="G66" s="11"/>
    </row>
    <row r="67" spans="1:8" x14ac:dyDescent="0.2">
      <c r="A67" s="8">
        <v>3.12</v>
      </c>
      <c r="B67" s="33" t="s">
        <v>51</v>
      </c>
      <c r="C67" s="14"/>
      <c r="D67" s="16">
        <f>ROUND(1.5*8.2*0.15,2)</f>
        <v>1.85</v>
      </c>
      <c r="E67" s="32" t="s">
        <v>22</v>
      </c>
      <c r="F67" s="10">
        <v>0</v>
      </c>
      <c r="G67" s="11">
        <f>F67*D67</f>
        <v>0</v>
      </c>
    </row>
    <row r="68" spans="1:8" x14ac:dyDescent="0.2">
      <c r="A68" s="8">
        <v>3.13</v>
      </c>
      <c r="B68" s="25" t="s">
        <v>52</v>
      </c>
      <c r="D68" s="16">
        <f>ROUND(27.6*0.6*0.25,2)</f>
        <v>4.1399999999999997</v>
      </c>
      <c r="E68" s="32" t="s">
        <v>22</v>
      </c>
      <c r="F68" s="10">
        <v>0</v>
      </c>
      <c r="G68" s="11">
        <f t="shared" si="1"/>
        <v>0</v>
      </c>
    </row>
    <row r="69" spans="1:8" x14ac:dyDescent="0.2">
      <c r="A69" s="8">
        <v>3.14</v>
      </c>
      <c r="B69" s="25" t="s">
        <v>53</v>
      </c>
      <c r="D69" s="16">
        <f>ROUND((12.5+5.3+3.5+2)*0.45*0.25,2)</f>
        <v>2.62</v>
      </c>
      <c r="E69" s="32" t="s">
        <v>22</v>
      </c>
      <c r="F69" s="10">
        <v>0</v>
      </c>
      <c r="G69" s="11">
        <f t="shared" si="1"/>
        <v>0</v>
      </c>
    </row>
    <row r="70" spans="1:8" x14ac:dyDescent="0.2">
      <c r="A70" s="8">
        <v>3.15</v>
      </c>
      <c r="B70" s="70" t="s">
        <v>54</v>
      </c>
      <c r="C70" s="62"/>
      <c r="D70" s="16">
        <f>ROUND(1*1*0.3*4,2)</f>
        <v>1.2</v>
      </c>
      <c r="E70" s="32" t="s">
        <v>22</v>
      </c>
      <c r="F70" s="10">
        <v>0</v>
      </c>
      <c r="G70" s="11">
        <f t="shared" si="1"/>
        <v>0</v>
      </c>
    </row>
    <row r="71" spans="1:8" x14ac:dyDescent="0.2">
      <c r="A71" s="8">
        <v>3.16</v>
      </c>
      <c r="B71" s="70" t="s">
        <v>55</v>
      </c>
      <c r="C71" s="62"/>
      <c r="D71" s="16">
        <f>ROUND(1*1.5*0.3*2,2)</f>
        <v>0.9</v>
      </c>
      <c r="E71" s="32" t="s">
        <v>22</v>
      </c>
      <c r="F71" s="10">
        <v>0</v>
      </c>
      <c r="G71" s="11">
        <f t="shared" si="1"/>
        <v>0</v>
      </c>
    </row>
    <row r="72" spans="1:8" x14ac:dyDescent="0.2">
      <c r="A72" s="8">
        <v>3.17</v>
      </c>
      <c r="B72" s="25" t="s">
        <v>56</v>
      </c>
      <c r="D72" s="34">
        <f>ROUND((0.6*0.6*0.1+0.4*0.4*1),2)*2</f>
        <v>0.4</v>
      </c>
      <c r="E72" s="32" t="s">
        <v>22</v>
      </c>
      <c r="F72" s="35">
        <v>0</v>
      </c>
      <c r="G72" s="11">
        <f t="shared" si="1"/>
        <v>0</v>
      </c>
    </row>
    <row r="73" spans="1:8" x14ac:dyDescent="0.2">
      <c r="A73" s="8">
        <v>3.18</v>
      </c>
      <c r="B73" s="60" t="s">
        <v>57</v>
      </c>
      <c r="C73" s="61"/>
      <c r="D73" s="34">
        <v>1.2050000000000001</v>
      </c>
      <c r="E73" s="32" t="s">
        <v>22</v>
      </c>
      <c r="F73" s="35">
        <v>0</v>
      </c>
      <c r="G73" s="11">
        <f t="shared" si="1"/>
        <v>0</v>
      </c>
    </row>
    <row r="74" spans="1:8" x14ac:dyDescent="0.2">
      <c r="B74" s="61"/>
      <c r="C74" s="61"/>
      <c r="D74" s="8"/>
      <c r="E74" s="12"/>
      <c r="F74" s="24"/>
      <c r="G74" s="24"/>
      <c r="H74" s="15">
        <f>SUM(G53:G73)</f>
        <v>0</v>
      </c>
    </row>
    <row r="75" spans="1:8" x14ac:dyDescent="0.2">
      <c r="D75" s="8"/>
      <c r="E75" s="12"/>
      <c r="F75" s="24"/>
      <c r="G75" s="24"/>
    </row>
    <row r="76" spans="1:8" x14ac:dyDescent="0.2">
      <c r="A76" s="6">
        <v>4</v>
      </c>
      <c r="B76" s="2" t="s">
        <v>58</v>
      </c>
      <c r="D76" s="8"/>
      <c r="E76" s="12"/>
      <c r="F76" s="24"/>
      <c r="G76" s="24"/>
    </row>
    <row r="77" spans="1:8" x14ac:dyDescent="0.2">
      <c r="D77" s="8"/>
      <c r="E77" s="12"/>
      <c r="F77" s="24"/>
      <c r="G77" s="24"/>
    </row>
    <row r="78" spans="1:8" x14ac:dyDescent="0.2">
      <c r="A78" s="8">
        <v>4.01</v>
      </c>
      <c r="B78" s="25" t="s">
        <v>59</v>
      </c>
      <c r="D78" s="26">
        <f>ROUND((6.2+0.5+4.6+0.4+0.9+0.6+1.5)*0.6, 2)</f>
        <v>8.82</v>
      </c>
      <c r="E78" s="36" t="s">
        <v>60</v>
      </c>
      <c r="F78" s="10">
        <v>0</v>
      </c>
      <c r="G78" s="11">
        <f>F78*D78</f>
        <v>0</v>
      </c>
    </row>
    <row r="79" spans="1:8" x14ac:dyDescent="0.2">
      <c r="A79" s="8">
        <v>4.0199999999999996</v>
      </c>
      <c r="B79" s="60" t="s">
        <v>61</v>
      </c>
      <c r="C79" s="61"/>
      <c r="D79" s="26">
        <f>ROUND((9*4)*0.7, 2)</f>
        <v>25.2</v>
      </c>
      <c r="E79" s="36" t="s">
        <v>60</v>
      </c>
      <c r="F79" s="30">
        <v>0</v>
      </c>
      <c r="G79" s="11">
        <f>F79*D79</f>
        <v>0</v>
      </c>
    </row>
    <row r="80" spans="1:8" x14ac:dyDescent="0.2">
      <c r="A80" s="26"/>
      <c r="B80" s="61"/>
      <c r="C80" s="61"/>
      <c r="D80" s="26"/>
      <c r="E80" s="36"/>
      <c r="F80" s="30"/>
      <c r="G80" s="11"/>
    </row>
    <row r="81" spans="1:8" x14ac:dyDescent="0.2">
      <c r="A81" s="8">
        <v>4.03</v>
      </c>
      <c r="B81" s="60" t="s">
        <v>62</v>
      </c>
      <c r="C81" s="61"/>
      <c r="D81" s="16">
        <f>ROUND((12.5+5.3+3.5+2)*0.5,2)</f>
        <v>11.65</v>
      </c>
      <c r="E81" s="36" t="s">
        <v>60</v>
      </c>
      <c r="F81" s="30">
        <v>0</v>
      </c>
      <c r="G81" s="11">
        <f>F81*D81</f>
        <v>0</v>
      </c>
    </row>
    <row r="82" spans="1:8" x14ac:dyDescent="0.2">
      <c r="A82" s="26"/>
      <c r="B82" s="61"/>
      <c r="C82" s="61"/>
      <c r="D82" s="16"/>
      <c r="E82" s="36"/>
      <c r="F82" s="30"/>
      <c r="G82" s="11"/>
    </row>
    <row r="83" spans="1:8" x14ac:dyDescent="0.2">
      <c r="A83" s="26">
        <v>4.04</v>
      </c>
      <c r="B83" s="25" t="s">
        <v>63</v>
      </c>
      <c r="D83" s="26">
        <f>ROUND((5.4*2+8*2)*0.6, 2)</f>
        <v>16.079999999999998</v>
      </c>
      <c r="E83" s="36" t="s">
        <v>60</v>
      </c>
      <c r="F83" s="10">
        <v>0</v>
      </c>
      <c r="G83" s="11">
        <f>F83*D83</f>
        <v>0</v>
      </c>
    </row>
    <row r="84" spans="1:8" x14ac:dyDescent="0.2">
      <c r="A84" s="8">
        <v>4.05</v>
      </c>
      <c r="B84" s="25" t="s">
        <v>64</v>
      </c>
      <c r="D84" s="26">
        <f>ROUND((5.4*2+8*2)*3.1-(1.8*2.67+0.9*2.67+1.4*1*5), 2)</f>
        <v>68.87</v>
      </c>
      <c r="E84" s="36" t="s">
        <v>60</v>
      </c>
      <c r="F84" s="10">
        <v>0</v>
      </c>
      <c r="G84" s="11">
        <f>F84*D84</f>
        <v>0</v>
      </c>
    </row>
    <row r="85" spans="1:8" x14ac:dyDescent="0.2">
      <c r="A85" s="26">
        <v>4.0599999999999996</v>
      </c>
      <c r="B85" s="25" t="s">
        <v>65</v>
      </c>
      <c r="D85" s="8">
        <f>ROUND((6*2+9*2)*0.2, 2)</f>
        <v>6</v>
      </c>
      <c r="E85" s="36" t="s">
        <v>60</v>
      </c>
      <c r="F85" s="10">
        <v>0</v>
      </c>
      <c r="G85" s="11">
        <f>F85*D85</f>
        <v>0</v>
      </c>
    </row>
    <row r="86" spans="1:8" x14ac:dyDescent="0.2">
      <c r="A86" s="8"/>
      <c r="D86" s="8"/>
      <c r="E86" s="12"/>
      <c r="F86" s="10"/>
      <c r="G86" s="11"/>
      <c r="H86" s="15">
        <f>SUM(G78:G85)</f>
        <v>0</v>
      </c>
    </row>
    <row r="87" spans="1:8" x14ac:dyDescent="0.2">
      <c r="A87" s="8"/>
      <c r="D87" s="8"/>
      <c r="E87" s="12"/>
      <c r="F87" s="10"/>
      <c r="G87" s="11"/>
      <c r="H87" s="15"/>
    </row>
    <row r="88" spans="1:8" x14ac:dyDescent="0.2">
      <c r="A88" s="6">
        <v>5</v>
      </c>
      <c r="B88" s="37" t="s">
        <v>66</v>
      </c>
      <c r="C88" s="20"/>
      <c r="D88" s="20"/>
      <c r="E88" s="12"/>
      <c r="F88" s="10"/>
      <c r="G88" s="11"/>
      <c r="H88" s="15"/>
    </row>
    <row r="89" spans="1:8" x14ac:dyDescent="0.2">
      <c r="D89" s="8"/>
      <c r="E89" s="12"/>
      <c r="F89" s="10"/>
      <c r="G89" s="11"/>
      <c r="H89" s="15"/>
    </row>
    <row r="90" spans="1:8" x14ac:dyDescent="0.2">
      <c r="A90" s="13">
        <v>5.01</v>
      </c>
      <c r="B90" s="60" t="s">
        <v>67</v>
      </c>
      <c r="C90" s="61"/>
      <c r="D90" s="16">
        <f>ROUND(12.5+5.3+3.5+2,2)</f>
        <v>23.3</v>
      </c>
      <c r="E90" s="38" t="s">
        <v>19</v>
      </c>
      <c r="F90" s="11">
        <v>0</v>
      </c>
      <c r="G90" s="11">
        <f>F90*D90</f>
        <v>0</v>
      </c>
      <c r="H90" s="15"/>
    </row>
    <row r="91" spans="1:8" x14ac:dyDescent="0.2">
      <c r="A91" s="8"/>
      <c r="B91" s="61"/>
      <c r="C91" s="61"/>
      <c r="D91" s="16"/>
      <c r="E91" s="38"/>
      <c r="F91" s="11"/>
      <c r="G91" s="11"/>
      <c r="H91" s="15"/>
    </row>
    <row r="92" spans="1:8" x14ac:dyDescent="0.2">
      <c r="A92" s="13">
        <v>5.0199999999999996</v>
      </c>
      <c r="B92" s="25" t="s">
        <v>68</v>
      </c>
      <c r="D92" s="16">
        <f>ROUND(1.95*1.85,2)</f>
        <v>3.61</v>
      </c>
      <c r="E92" s="38" t="s">
        <v>60</v>
      </c>
      <c r="F92" s="11">
        <v>0</v>
      </c>
      <c r="G92" s="11">
        <f>F92*D92</f>
        <v>0</v>
      </c>
      <c r="H92" s="15"/>
    </row>
    <row r="93" spans="1:8" x14ac:dyDescent="0.2">
      <c r="A93" s="8"/>
      <c r="D93" s="8"/>
      <c r="E93" s="12"/>
      <c r="F93" s="10"/>
      <c r="G93" s="11"/>
      <c r="H93" s="15">
        <f>SUM(G90:G92)</f>
        <v>0</v>
      </c>
    </row>
    <row r="94" spans="1:8" x14ac:dyDescent="0.2">
      <c r="A94" s="8"/>
      <c r="D94" s="8"/>
      <c r="E94" s="12"/>
      <c r="F94" s="10"/>
      <c r="G94" s="11"/>
      <c r="H94" s="15"/>
    </row>
    <row r="95" spans="1:8" x14ac:dyDescent="0.2">
      <c r="A95" s="6">
        <v>6</v>
      </c>
      <c r="B95" s="2" t="s">
        <v>69</v>
      </c>
      <c r="D95" s="8"/>
      <c r="E95" s="12"/>
      <c r="F95" s="24"/>
      <c r="G95" s="24"/>
    </row>
    <row r="96" spans="1:8" x14ac:dyDescent="0.2">
      <c r="D96" s="8"/>
      <c r="E96" s="12"/>
      <c r="F96" s="24"/>
      <c r="G96" s="24"/>
    </row>
    <row r="97" spans="1:8" x14ac:dyDescent="0.2">
      <c r="A97" s="8">
        <v>6.01</v>
      </c>
      <c r="B97" t="s">
        <v>70</v>
      </c>
      <c r="D97" s="8">
        <f>ROUND((8.4*3.67-1.4*1*25)*2+(5.4*3.67-(1*2.67+1.4*1))+(5.4*3.67-1.8*2.67)+(7*0.7*4+0.15*6*4+6*0.2*2)+(6*2*0.2+9*0.2*2),2)</f>
        <v>54.02</v>
      </c>
      <c r="E97" s="38" t="s">
        <v>60</v>
      </c>
      <c r="F97" s="10">
        <v>0</v>
      </c>
      <c r="G97" s="11">
        <f t="shared" ref="G97:G105" si="2">F97*D97</f>
        <v>0</v>
      </c>
    </row>
    <row r="98" spans="1:8" x14ac:dyDescent="0.2">
      <c r="A98" s="8">
        <v>6.02</v>
      </c>
      <c r="B98" t="s">
        <v>71</v>
      </c>
      <c r="D98" s="8">
        <f>ROUND((0.4*1*4*2+0.5*1.5*4*2)+(8.4*3.67-1.4*1*25)*2+(5.4*3.67-(1*2.67+1.4*1))+(5.4*3.67-1.8*2.67)+(12.5+3.5+5+1)*2*0.2+(9*0.2*2+6*0.2*2),2)</f>
        <v>46.42</v>
      </c>
      <c r="E98" s="38" t="s">
        <v>60</v>
      </c>
      <c r="F98" s="10">
        <v>0</v>
      </c>
      <c r="G98" s="11">
        <f t="shared" si="2"/>
        <v>0</v>
      </c>
    </row>
    <row r="99" spans="1:8" x14ac:dyDescent="0.2">
      <c r="A99" s="8">
        <v>6.03</v>
      </c>
      <c r="B99" t="s">
        <v>72</v>
      </c>
      <c r="D99" s="16">
        <f>ROUND(0.2*5+0.4*5*2,2)</f>
        <v>5</v>
      </c>
      <c r="E99" s="38" t="s">
        <v>60</v>
      </c>
      <c r="F99" s="10">
        <v>0</v>
      </c>
      <c r="G99" s="11">
        <f t="shared" si="2"/>
        <v>0</v>
      </c>
    </row>
    <row r="100" spans="1:8" x14ac:dyDescent="0.2">
      <c r="A100" s="8">
        <v>6.04</v>
      </c>
      <c r="B100" t="s">
        <v>73</v>
      </c>
      <c r="D100" s="16">
        <f>ROUND(8*5,2)</f>
        <v>40</v>
      </c>
      <c r="E100" s="38" t="s">
        <v>60</v>
      </c>
      <c r="F100" s="10">
        <v>0</v>
      </c>
      <c r="G100" s="11">
        <f t="shared" si="2"/>
        <v>0</v>
      </c>
    </row>
    <row r="101" spans="1:8" x14ac:dyDescent="0.2">
      <c r="A101" s="8">
        <v>6.05</v>
      </c>
      <c r="B101" t="s">
        <v>74</v>
      </c>
      <c r="D101" s="16">
        <f>ROUND(2.67*8+1*20+1.4*10+1.8*2+9*2+6*8+0.2*16+8*0.15+9*4+6*4+0.5*8+5*2,2)</f>
        <v>203.36</v>
      </c>
      <c r="E101" s="12" t="s">
        <v>19</v>
      </c>
      <c r="F101" s="10">
        <v>0</v>
      </c>
      <c r="G101" s="11">
        <f t="shared" si="2"/>
        <v>0</v>
      </c>
    </row>
    <row r="102" spans="1:8" x14ac:dyDescent="0.2">
      <c r="A102" s="8">
        <v>6.06</v>
      </c>
      <c r="B102" t="s">
        <v>75</v>
      </c>
      <c r="D102" s="16">
        <f>D97+D99+D100+D98</f>
        <v>145.44</v>
      </c>
      <c r="E102" s="38" t="s">
        <v>60</v>
      </c>
      <c r="F102" s="10">
        <v>0</v>
      </c>
      <c r="G102" s="11">
        <f t="shared" si="2"/>
        <v>0</v>
      </c>
    </row>
    <row r="103" spans="1:8" x14ac:dyDescent="0.2">
      <c r="A103" s="8">
        <v>6.07</v>
      </c>
      <c r="B103" t="s">
        <v>76</v>
      </c>
      <c r="D103" s="16">
        <f>ROUND(9*2+6*2,2)</f>
        <v>30</v>
      </c>
      <c r="E103" s="12" t="s">
        <v>19</v>
      </c>
      <c r="F103" s="10">
        <v>0</v>
      </c>
      <c r="G103" s="11">
        <f t="shared" si="2"/>
        <v>0</v>
      </c>
    </row>
    <row r="104" spans="1:8" x14ac:dyDescent="0.2">
      <c r="A104" s="8">
        <v>6.08</v>
      </c>
      <c r="B104" t="s">
        <v>77</v>
      </c>
      <c r="D104" s="16">
        <f>ROUND(5.7*8.7,2)</f>
        <v>49.59</v>
      </c>
      <c r="E104" s="38" t="s">
        <v>60</v>
      </c>
      <c r="F104" s="10">
        <v>0</v>
      </c>
      <c r="G104" s="11">
        <f t="shared" si="2"/>
        <v>0</v>
      </c>
    </row>
    <row r="105" spans="1:8" x14ac:dyDescent="0.2">
      <c r="A105" s="8">
        <v>6.09</v>
      </c>
      <c r="B105" s="60" t="s">
        <v>78</v>
      </c>
      <c r="C105" s="61"/>
      <c r="D105" s="16">
        <f>ROUND(2.65*19.39,2)</f>
        <v>51.38</v>
      </c>
      <c r="E105" s="38" t="s">
        <v>60</v>
      </c>
      <c r="F105" s="10">
        <v>0</v>
      </c>
      <c r="G105" s="11">
        <f t="shared" si="2"/>
        <v>0</v>
      </c>
    </row>
    <row r="106" spans="1:8" x14ac:dyDescent="0.2">
      <c r="A106" s="8"/>
      <c r="B106" s="61"/>
      <c r="C106" s="61"/>
      <c r="D106" s="16"/>
      <c r="E106" s="12"/>
      <c r="F106" s="10"/>
      <c r="G106" s="11"/>
      <c r="H106" s="15">
        <f>SUM(G97:G106)</f>
        <v>0</v>
      </c>
    </row>
    <row r="107" spans="1:8" x14ac:dyDescent="0.2">
      <c r="D107" s="8"/>
      <c r="E107" s="12"/>
      <c r="F107" s="24"/>
      <c r="G107" s="24"/>
    </row>
    <row r="108" spans="1:8" x14ac:dyDescent="0.2">
      <c r="A108" s="6">
        <v>7</v>
      </c>
      <c r="B108" s="2" t="s">
        <v>79</v>
      </c>
      <c r="D108" s="8"/>
      <c r="E108" s="12"/>
      <c r="F108" s="24"/>
      <c r="G108" s="24"/>
    </row>
    <row r="109" spans="1:8" x14ac:dyDescent="0.2">
      <c r="D109" s="8"/>
      <c r="E109" s="12"/>
      <c r="F109" s="24"/>
      <c r="G109" s="24"/>
    </row>
    <row r="110" spans="1:8" x14ac:dyDescent="0.2">
      <c r="A110" s="8">
        <v>7.01</v>
      </c>
      <c r="B110" t="s">
        <v>80</v>
      </c>
      <c r="D110" s="16">
        <f>ROUND(8*2+1.6*2+5+6*4,2)</f>
        <v>48.2</v>
      </c>
      <c r="E110" s="12" t="s">
        <v>19</v>
      </c>
      <c r="F110" s="11">
        <v>0</v>
      </c>
      <c r="G110" s="11">
        <f>F110*D110</f>
        <v>0</v>
      </c>
    </row>
    <row r="111" spans="1:8" x14ac:dyDescent="0.2">
      <c r="A111" s="8">
        <v>7.02</v>
      </c>
      <c r="B111" t="s">
        <v>81</v>
      </c>
      <c r="D111" s="16">
        <f>ROUND(1*8*3+1*2*2+1*5.4+1.8*0.3,2)</f>
        <v>33.94</v>
      </c>
      <c r="E111" s="38" t="s">
        <v>60</v>
      </c>
      <c r="F111" s="11">
        <v>0</v>
      </c>
      <c r="G111" s="11">
        <f>F111*D111</f>
        <v>0</v>
      </c>
    </row>
    <row r="112" spans="1:8" x14ac:dyDescent="0.2">
      <c r="D112" s="8"/>
      <c r="E112" s="12"/>
      <c r="F112" s="24"/>
      <c r="G112" s="24"/>
      <c r="H112" s="15">
        <f>SUM(G110:G111)</f>
        <v>0</v>
      </c>
    </row>
    <row r="113" spans="1:9" x14ac:dyDescent="0.2">
      <c r="D113" s="8"/>
      <c r="E113" s="12"/>
      <c r="F113" s="24"/>
      <c r="G113" s="24"/>
    </row>
    <row r="114" spans="1:9" x14ac:dyDescent="0.2">
      <c r="A114" s="6">
        <v>8</v>
      </c>
      <c r="B114" s="2" t="s">
        <v>82</v>
      </c>
      <c r="D114" s="8"/>
      <c r="E114" s="12"/>
      <c r="F114" s="24"/>
      <c r="G114" s="24"/>
    </row>
    <row r="115" spans="1:9" x14ac:dyDescent="0.2">
      <c r="D115" s="8"/>
      <c r="E115" s="12"/>
      <c r="F115" s="24"/>
      <c r="G115" s="24"/>
    </row>
    <row r="116" spans="1:9" x14ac:dyDescent="0.2">
      <c r="A116" s="8">
        <v>8.01</v>
      </c>
      <c r="B116" t="s">
        <v>83</v>
      </c>
      <c r="D116" s="8">
        <f>D97</f>
        <v>54.02</v>
      </c>
      <c r="E116" s="38" t="s">
        <v>60</v>
      </c>
      <c r="F116" s="10">
        <v>0</v>
      </c>
      <c r="G116" s="11">
        <f>F116*D116</f>
        <v>0</v>
      </c>
    </row>
    <row r="117" spans="1:9" x14ac:dyDescent="0.2">
      <c r="A117" s="8">
        <v>8.02</v>
      </c>
      <c r="B117" t="s">
        <v>84</v>
      </c>
      <c r="D117" s="8">
        <f>D99+D100</f>
        <v>45</v>
      </c>
      <c r="E117" s="38" t="s">
        <v>60</v>
      </c>
      <c r="F117" s="10">
        <v>0</v>
      </c>
      <c r="G117" s="11">
        <f>F117*D117</f>
        <v>0</v>
      </c>
    </row>
    <row r="118" spans="1:9" x14ac:dyDescent="0.2">
      <c r="A118" s="8">
        <v>8.0299999999999994</v>
      </c>
      <c r="B118" t="s">
        <v>85</v>
      </c>
      <c r="D118" s="8">
        <f>D98</f>
        <v>46.42</v>
      </c>
      <c r="E118" s="12" t="s">
        <v>60</v>
      </c>
      <c r="F118" s="10">
        <v>0</v>
      </c>
      <c r="G118" s="11">
        <f>F118*D118</f>
        <v>0</v>
      </c>
    </row>
    <row r="119" spans="1:9" x14ac:dyDescent="0.2">
      <c r="A119" s="8">
        <v>8.0399999999999991</v>
      </c>
      <c r="B119" s="60" t="s">
        <v>86</v>
      </c>
      <c r="C119" s="61"/>
      <c r="D119" s="16">
        <f>ROUND(2.5*5+0.3*10+0.3*29.88+29.88*3.1-(1.6*1+1.6*0.8*3+1.7*0.6+0.9*2.1)+38.24*2.8,2)</f>
        <v>215.81</v>
      </c>
      <c r="E119" s="12" t="s">
        <v>60</v>
      </c>
      <c r="F119" s="10">
        <v>0</v>
      </c>
      <c r="G119" s="11">
        <f>F119*D119</f>
        <v>0</v>
      </c>
    </row>
    <row r="120" spans="1:9" x14ac:dyDescent="0.2">
      <c r="A120" s="8"/>
      <c r="B120" s="61"/>
      <c r="C120" s="61"/>
      <c r="D120" s="16"/>
      <c r="E120" s="12"/>
      <c r="F120" s="10"/>
      <c r="G120" s="11"/>
    </row>
    <row r="121" spans="1:9" x14ac:dyDescent="0.2">
      <c r="A121" s="8"/>
      <c r="B121" s="61"/>
      <c r="C121" s="61"/>
      <c r="D121" s="16"/>
      <c r="E121" s="12"/>
      <c r="F121" s="10"/>
      <c r="G121" s="11"/>
    </row>
    <row r="122" spans="1:9" x14ac:dyDescent="0.2">
      <c r="A122" s="8">
        <v>8.0500000000000007</v>
      </c>
      <c r="B122" s="60" t="s">
        <v>87</v>
      </c>
      <c r="C122" s="61"/>
      <c r="D122" s="16">
        <f>ROUND((5+2.5*2)*3*2+4.17*2*3.27*2+(6.12+19.39+15.99+2.09+2.98+6)*8*2-(1.6*1.2*2+1.6*0.8*2)+14.48*5+19.39*7.21,2)</f>
        <v>1161.47</v>
      </c>
      <c r="E122" s="12" t="s">
        <v>60</v>
      </c>
      <c r="F122" s="10">
        <v>0</v>
      </c>
      <c r="G122" s="11">
        <f>F122*D122</f>
        <v>0</v>
      </c>
      <c r="I122" s="16">
        <f>ROUND((5+2.5*2+4.17*2)*2.8*2+(6.12+19.39+15.99+2.09+2.98+6)*9*2-(1.6*1.2*2+1.6*0.8*2)+14.48*5+19.39*7.21,2)</f>
        <v>1254.77</v>
      </c>
    </row>
    <row r="123" spans="1:9" x14ac:dyDescent="0.2">
      <c r="A123" s="8"/>
      <c r="B123" s="61"/>
      <c r="C123" s="61"/>
      <c r="D123" s="8"/>
      <c r="E123" s="12"/>
      <c r="F123" s="10"/>
      <c r="G123" s="11"/>
    </row>
    <row r="124" spans="1:9" x14ac:dyDescent="0.2">
      <c r="A124" s="8">
        <v>8.06</v>
      </c>
      <c r="B124" s="60" t="s">
        <v>88</v>
      </c>
      <c r="C124" s="61"/>
      <c r="D124" s="16">
        <f>ROUND(2*2.2*10*2+0.6*117.9*2+159.93*0.2*2+9.3*1.62+30.69*2.18+9.94*1.36,2)</f>
        <v>388.94</v>
      </c>
      <c r="E124" s="12" t="s">
        <v>60</v>
      </c>
      <c r="F124" s="10">
        <v>0</v>
      </c>
      <c r="G124" s="11">
        <f>F124*D124</f>
        <v>0</v>
      </c>
      <c r="I124" s="16">
        <f>ROUND(2*2.2*10*2+0.6*117.9*2+159.93*0.2*2+14.89*1.6+19.03*2.15+12.99*2.3+18.18*1.6,2)</f>
        <v>417.16</v>
      </c>
    </row>
    <row r="125" spans="1:9" x14ac:dyDescent="0.2">
      <c r="A125" s="8"/>
      <c r="B125" s="61"/>
      <c r="C125" s="61"/>
      <c r="D125" s="8"/>
      <c r="E125" s="12"/>
      <c r="F125" s="10"/>
      <c r="G125" s="11"/>
    </row>
    <row r="126" spans="1:9" x14ac:dyDescent="0.2">
      <c r="A126" s="8">
        <v>8.07</v>
      </c>
      <c r="B126" s="25" t="s">
        <v>89</v>
      </c>
      <c r="D126" s="16">
        <f>ROUND(17.54+6.45+5.57+35.04+32.75+18.29+29.91+30.22+11.89+30.59+18.48+50.55+14.89+7.21,2)</f>
        <v>309.38</v>
      </c>
      <c r="E126" s="12" t="s">
        <v>19</v>
      </c>
      <c r="F126" s="10">
        <v>0</v>
      </c>
      <c r="G126" s="11">
        <f>F126*D126</f>
        <v>0</v>
      </c>
    </row>
    <row r="127" spans="1:9" x14ac:dyDescent="0.2">
      <c r="A127" s="8">
        <v>8.08</v>
      </c>
      <c r="B127" s="60" t="s">
        <v>90</v>
      </c>
      <c r="C127" s="61"/>
      <c r="D127" s="16">
        <f>ROUND(14.89+19.03+31.77,2)</f>
        <v>65.69</v>
      </c>
      <c r="E127" s="12" t="s">
        <v>19</v>
      </c>
      <c r="F127" s="10">
        <v>0</v>
      </c>
      <c r="G127" s="11">
        <f>F127*D127</f>
        <v>0</v>
      </c>
    </row>
    <row r="128" spans="1:9" x14ac:dyDescent="0.2">
      <c r="A128" s="8"/>
      <c r="B128" s="61"/>
      <c r="C128" s="61"/>
      <c r="D128" s="16"/>
      <c r="E128" s="12"/>
      <c r="F128" s="10"/>
      <c r="G128" s="11"/>
    </row>
    <row r="129" spans="1:8" x14ac:dyDescent="0.2">
      <c r="A129" s="8">
        <v>8.09</v>
      </c>
      <c r="B129" s="60" t="s">
        <v>91</v>
      </c>
      <c r="C129" s="61"/>
      <c r="D129" s="8">
        <f>7.5*6*1.2</f>
        <v>54</v>
      </c>
      <c r="E129" s="12" t="s">
        <v>92</v>
      </c>
      <c r="F129" s="11">
        <v>0</v>
      </c>
      <c r="G129" s="11">
        <f>F129*D129</f>
        <v>0</v>
      </c>
    </row>
    <row r="130" spans="1:8" x14ac:dyDescent="0.2">
      <c r="A130" s="8"/>
      <c r="B130" s="61"/>
      <c r="C130" s="61"/>
      <c r="D130" s="8"/>
      <c r="E130" s="12"/>
      <c r="F130" s="10"/>
      <c r="G130" s="11"/>
    </row>
    <row r="131" spans="1:8" x14ac:dyDescent="0.2">
      <c r="A131" s="8">
        <v>8.1</v>
      </c>
      <c r="B131" s="25" t="s">
        <v>93</v>
      </c>
      <c r="D131" s="8">
        <v>6.5</v>
      </c>
      <c r="E131" s="12" t="s">
        <v>19</v>
      </c>
      <c r="F131" s="11">
        <v>0</v>
      </c>
      <c r="G131" s="11">
        <f>F131*D131</f>
        <v>0</v>
      </c>
    </row>
    <row r="132" spans="1:8" x14ac:dyDescent="0.2">
      <c r="A132" s="8">
        <v>8.11</v>
      </c>
      <c r="B132" s="25" t="s">
        <v>94</v>
      </c>
      <c r="D132" s="8">
        <f>90*2</f>
        <v>180</v>
      </c>
      <c r="E132" s="12" t="s">
        <v>19</v>
      </c>
      <c r="F132" s="10">
        <v>0</v>
      </c>
      <c r="G132" s="11">
        <f>F132*D132</f>
        <v>0</v>
      </c>
    </row>
    <row r="133" spans="1:8" x14ac:dyDescent="0.2">
      <c r="A133" s="8">
        <v>8.1199999999999992</v>
      </c>
      <c r="B133" s="25" t="s">
        <v>95</v>
      </c>
      <c r="D133" s="16">
        <f>D104+D103*0.2</f>
        <v>55.59</v>
      </c>
      <c r="E133" s="38" t="s">
        <v>60</v>
      </c>
      <c r="F133" s="10">
        <v>0</v>
      </c>
      <c r="G133" s="11">
        <f>F133*D133</f>
        <v>0</v>
      </c>
    </row>
    <row r="134" spans="1:8" x14ac:dyDescent="0.2">
      <c r="D134" s="8"/>
      <c r="E134" s="12"/>
      <c r="F134" s="24"/>
      <c r="G134" s="24"/>
      <c r="H134" s="15">
        <f>SUM(G116:G133)</f>
        <v>0</v>
      </c>
    </row>
    <row r="135" spans="1:8" x14ac:dyDescent="0.2">
      <c r="D135" s="8"/>
      <c r="E135" s="12"/>
      <c r="F135" s="24"/>
      <c r="G135" s="24"/>
      <c r="H135" s="15"/>
    </row>
    <row r="136" spans="1:8" x14ac:dyDescent="0.2">
      <c r="A136" s="6">
        <v>9</v>
      </c>
      <c r="B136" s="2" t="s">
        <v>96</v>
      </c>
      <c r="D136" s="8"/>
      <c r="E136" s="12"/>
      <c r="F136" s="24"/>
      <c r="G136" s="24"/>
    </row>
    <row r="137" spans="1:8" x14ac:dyDescent="0.2">
      <c r="D137" s="8"/>
      <c r="E137" s="12"/>
      <c r="F137" s="24"/>
      <c r="G137" s="24"/>
    </row>
    <row r="138" spans="1:8" x14ac:dyDescent="0.2">
      <c r="A138" s="8">
        <v>9.01</v>
      </c>
      <c r="B138" t="s">
        <v>97</v>
      </c>
      <c r="D138" s="16">
        <v>85</v>
      </c>
      <c r="E138" s="12" t="s">
        <v>98</v>
      </c>
      <c r="F138" s="11">
        <v>0</v>
      </c>
      <c r="G138" s="11">
        <f>F138*D138</f>
        <v>0</v>
      </c>
      <c r="H138" s="15"/>
    </row>
    <row r="139" spans="1:8" x14ac:dyDescent="0.2">
      <c r="A139" s="8">
        <v>9.02</v>
      </c>
      <c r="B139" t="s">
        <v>99</v>
      </c>
      <c r="D139" s="16">
        <f>ROUND(54.8,2)</f>
        <v>54.8</v>
      </c>
      <c r="E139" s="12" t="s">
        <v>98</v>
      </c>
      <c r="F139" s="11">
        <v>0</v>
      </c>
      <c r="G139" s="11">
        <f>F139*D139</f>
        <v>0</v>
      </c>
    </row>
    <row r="140" spans="1:8" x14ac:dyDescent="0.2">
      <c r="A140" s="8">
        <v>9.0299999999999994</v>
      </c>
      <c r="B140" t="s">
        <v>100</v>
      </c>
      <c r="D140" s="16">
        <f>ROUND(25.96,2)</f>
        <v>25.96</v>
      </c>
      <c r="E140" s="12" t="s">
        <v>98</v>
      </c>
      <c r="F140" s="11">
        <v>0</v>
      </c>
      <c r="G140" s="11">
        <f>F140*D140</f>
        <v>0</v>
      </c>
    </row>
    <row r="141" spans="1:8" x14ac:dyDescent="0.2">
      <c r="A141" s="8"/>
      <c r="D141" s="8"/>
      <c r="E141" s="12"/>
      <c r="F141" s="39"/>
      <c r="G141" s="24"/>
      <c r="H141" s="15">
        <f>SUM(G138:G140)</f>
        <v>0</v>
      </c>
    </row>
    <row r="142" spans="1:8" x14ac:dyDescent="0.2">
      <c r="D142" s="8"/>
      <c r="E142" s="12"/>
      <c r="F142" s="24"/>
      <c r="G142" s="24"/>
    </row>
    <row r="143" spans="1:8" x14ac:dyDescent="0.2">
      <c r="A143" s="6">
        <v>10</v>
      </c>
      <c r="B143" s="2" t="s">
        <v>101</v>
      </c>
      <c r="D143" s="8"/>
      <c r="E143" s="12"/>
      <c r="F143" s="24"/>
      <c r="G143" s="24"/>
    </row>
    <row r="144" spans="1:8" x14ac:dyDescent="0.2">
      <c r="D144" s="8"/>
      <c r="E144" s="12"/>
      <c r="F144" s="24"/>
      <c r="G144" s="24"/>
    </row>
    <row r="145" spans="1:8" x14ac:dyDescent="0.2">
      <c r="A145" s="8">
        <v>10.01</v>
      </c>
      <c r="B145" t="s">
        <v>102</v>
      </c>
      <c r="C145" s="20"/>
      <c r="D145" s="8">
        <v>1</v>
      </c>
      <c r="E145" s="12" t="s">
        <v>50</v>
      </c>
      <c r="F145" s="10">
        <v>0</v>
      </c>
      <c r="G145" s="11">
        <f>F145*D145</f>
        <v>0</v>
      </c>
      <c r="H145" s="15"/>
    </row>
    <row r="146" spans="1:8" x14ac:dyDescent="0.2">
      <c r="A146" s="8">
        <v>10.02</v>
      </c>
      <c r="B146" t="s">
        <v>103</v>
      </c>
      <c r="C146" s="20"/>
      <c r="D146" s="8">
        <v>2</v>
      </c>
      <c r="E146" s="12" t="s">
        <v>45</v>
      </c>
      <c r="F146" s="10">
        <v>0</v>
      </c>
      <c r="G146" s="11">
        <f>F146*D146</f>
        <v>0</v>
      </c>
      <c r="H146" s="15"/>
    </row>
    <row r="147" spans="1:8" x14ac:dyDescent="0.2">
      <c r="A147" s="8">
        <v>10.029999999999999</v>
      </c>
      <c r="B147" s="20" t="s">
        <v>104</v>
      </c>
      <c r="C147" s="20"/>
      <c r="D147" s="8">
        <v>1</v>
      </c>
      <c r="E147" s="12" t="s">
        <v>92</v>
      </c>
      <c r="F147" s="10">
        <v>0</v>
      </c>
      <c r="G147" s="11">
        <f>F147*D147</f>
        <v>0</v>
      </c>
      <c r="H147" s="15"/>
    </row>
    <row r="148" spans="1:8" x14ac:dyDescent="0.2">
      <c r="D148" s="8"/>
      <c r="E148" s="12"/>
      <c r="F148" s="24"/>
      <c r="G148" s="24"/>
      <c r="H148" s="15">
        <f>SUM(G145:G147)</f>
        <v>0</v>
      </c>
    </row>
    <row r="149" spans="1:8" x14ac:dyDescent="0.2">
      <c r="D149" s="8"/>
      <c r="E149" s="12"/>
      <c r="F149" s="24"/>
      <c r="G149" s="24"/>
      <c r="H149" s="15"/>
    </row>
    <row r="150" spans="1:8" x14ac:dyDescent="0.2">
      <c r="A150" s="6">
        <v>11</v>
      </c>
      <c r="B150" s="67" t="s">
        <v>105</v>
      </c>
      <c r="C150" s="67"/>
      <c r="D150" s="8"/>
      <c r="E150" s="12"/>
      <c r="F150" s="24"/>
      <c r="G150" s="24"/>
    </row>
    <row r="151" spans="1:8" x14ac:dyDescent="0.2">
      <c r="D151" s="8"/>
      <c r="E151" s="12"/>
      <c r="F151" s="24"/>
      <c r="G151" s="24"/>
    </row>
    <row r="152" spans="1:8" x14ac:dyDescent="0.2">
      <c r="A152" s="7">
        <v>11.01</v>
      </c>
      <c r="B152" s="40" t="s">
        <v>106</v>
      </c>
      <c r="C152" s="41"/>
      <c r="D152" s="8"/>
      <c r="E152" s="12"/>
      <c r="F152" s="24"/>
      <c r="G152" s="24"/>
    </row>
    <row r="153" spans="1:8" x14ac:dyDescent="0.2">
      <c r="A153" s="8"/>
      <c r="B153" s="2"/>
      <c r="D153" s="8"/>
      <c r="E153" s="12"/>
      <c r="F153" s="24"/>
      <c r="G153" s="24"/>
    </row>
    <row r="154" spans="1:8" x14ac:dyDescent="0.2">
      <c r="A154" s="42">
        <v>11.010999999999999</v>
      </c>
      <c r="B154" t="s">
        <v>107</v>
      </c>
      <c r="D154" s="8">
        <v>7</v>
      </c>
      <c r="E154" s="29" t="s">
        <v>45</v>
      </c>
      <c r="F154" s="10">
        <v>0</v>
      </c>
      <c r="G154" s="11">
        <f t="shared" ref="G154:G166" si="3">F154*D154</f>
        <v>0</v>
      </c>
    </row>
    <row r="155" spans="1:8" x14ac:dyDescent="0.2">
      <c r="A155" s="42">
        <v>11.012</v>
      </c>
      <c r="B155" t="s">
        <v>108</v>
      </c>
      <c r="D155" s="8">
        <v>1</v>
      </c>
      <c r="E155" s="12" t="s">
        <v>92</v>
      </c>
      <c r="F155" s="10">
        <v>0</v>
      </c>
      <c r="G155" s="11">
        <f t="shared" si="3"/>
        <v>0</v>
      </c>
    </row>
    <row r="156" spans="1:8" x14ac:dyDescent="0.2">
      <c r="A156" s="42">
        <v>11.013</v>
      </c>
      <c r="B156" t="s">
        <v>109</v>
      </c>
      <c r="D156" s="8">
        <v>3</v>
      </c>
      <c r="E156" s="29" t="s">
        <v>45</v>
      </c>
      <c r="F156" s="10">
        <v>0</v>
      </c>
      <c r="G156" s="11">
        <f t="shared" si="3"/>
        <v>0</v>
      </c>
    </row>
    <row r="157" spans="1:8" x14ac:dyDescent="0.2">
      <c r="A157" s="42">
        <v>11.013999999999999</v>
      </c>
      <c r="B157" t="s">
        <v>110</v>
      </c>
      <c r="D157" s="8">
        <v>1</v>
      </c>
      <c r="E157" s="29" t="s">
        <v>50</v>
      </c>
      <c r="F157" s="10">
        <v>0</v>
      </c>
      <c r="G157" s="11">
        <f t="shared" si="3"/>
        <v>0</v>
      </c>
    </row>
    <row r="158" spans="1:8" x14ac:dyDescent="0.2">
      <c r="A158" s="42">
        <v>11.015000000000001</v>
      </c>
      <c r="B158" t="s">
        <v>111</v>
      </c>
      <c r="D158" s="8">
        <v>1</v>
      </c>
      <c r="E158" s="12" t="s">
        <v>92</v>
      </c>
      <c r="F158" s="10">
        <v>0</v>
      </c>
      <c r="G158" s="11">
        <f t="shared" si="3"/>
        <v>0</v>
      </c>
    </row>
    <row r="159" spans="1:8" x14ac:dyDescent="0.2">
      <c r="A159" s="42">
        <v>11.016</v>
      </c>
      <c r="B159" t="s">
        <v>112</v>
      </c>
      <c r="D159" s="8">
        <v>2</v>
      </c>
      <c r="E159" s="29" t="s">
        <v>45</v>
      </c>
      <c r="F159" s="10">
        <v>0</v>
      </c>
      <c r="G159" s="11">
        <f t="shared" si="3"/>
        <v>0</v>
      </c>
    </row>
    <row r="160" spans="1:8" x14ac:dyDescent="0.2">
      <c r="A160" s="42">
        <v>11.016999999999999</v>
      </c>
      <c r="B160" t="s">
        <v>113</v>
      </c>
      <c r="D160" s="8">
        <v>1</v>
      </c>
      <c r="E160" s="12" t="s">
        <v>92</v>
      </c>
      <c r="F160" s="10">
        <v>0</v>
      </c>
      <c r="G160" s="11">
        <f t="shared" si="3"/>
        <v>0</v>
      </c>
    </row>
    <row r="161" spans="1:9" x14ac:dyDescent="0.2">
      <c r="A161" s="42">
        <v>11.018000000000001</v>
      </c>
      <c r="B161" t="s">
        <v>114</v>
      </c>
      <c r="D161" s="16">
        <v>8</v>
      </c>
      <c r="E161" s="29" t="s">
        <v>45</v>
      </c>
      <c r="F161" s="10">
        <v>0</v>
      </c>
      <c r="G161" s="11">
        <f t="shared" si="3"/>
        <v>0</v>
      </c>
    </row>
    <row r="162" spans="1:9" x14ac:dyDescent="0.2">
      <c r="A162" s="42">
        <v>11.019</v>
      </c>
      <c r="B162" t="s">
        <v>115</v>
      </c>
      <c r="D162" s="8">
        <v>1</v>
      </c>
      <c r="E162" s="12" t="s">
        <v>92</v>
      </c>
      <c r="F162" s="10">
        <v>0</v>
      </c>
      <c r="G162" s="11">
        <f t="shared" si="3"/>
        <v>0</v>
      </c>
    </row>
    <row r="163" spans="1:9" x14ac:dyDescent="0.2">
      <c r="A163" s="42">
        <v>11.02</v>
      </c>
      <c r="B163" t="s">
        <v>116</v>
      </c>
      <c r="D163" s="16">
        <v>2</v>
      </c>
      <c r="E163" s="29" t="s">
        <v>45</v>
      </c>
      <c r="F163" s="10">
        <v>0</v>
      </c>
      <c r="G163" s="11">
        <f t="shared" si="3"/>
        <v>0</v>
      </c>
    </row>
    <row r="164" spans="1:9" x14ac:dyDescent="0.2">
      <c r="A164" s="42">
        <v>11.021000000000001</v>
      </c>
      <c r="B164" t="s">
        <v>117</v>
      </c>
      <c r="D164" s="8">
        <v>1</v>
      </c>
      <c r="E164" s="12" t="s">
        <v>92</v>
      </c>
      <c r="F164" s="10">
        <v>0</v>
      </c>
      <c r="G164" s="11">
        <f t="shared" si="3"/>
        <v>0</v>
      </c>
    </row>
    <row r="165" spans="1:9" x14ac:dyDescent="0.2">
      <c r="A165" s="42">
        <v>11.022</v>
      </c>
      <c r="B165" s="20" t="s">
        <v>118</v>
      </c>
      <c r="C165" s="20"/>
      <c r="D165" s="8">
        <v>1</v>
      </c>
      <c r="E165" s="12" t="s">
        <v>50</v>
      </c>
      <c r="F165" s="10">
        <v>0</v>
      </c>
      <c r="G165" s="11">
        <f t="shared" si="3"/>
        <v>0</v>
      </c>
      <c r="H165" s="15"/>
    </row>
    <row r="166" spans="1:9" x14ac:dyDescent="0.2">
      <c r="A166" s="42">
        <v>11.023</v>
      </c>
      <c r="B166" s="43" t="s">
        <v>119</v>
      </c>
      <c r="C166" s="20"/>
      <c r="D166" s="8">
        <v>1</v>
      </c>
      <c r="E166" s="12" t="s">
        <v>50</v>
      </c>
      <c r="F166" s="10">
        <v>0</v>
      </c>
      <c r="G166" s="11">
        <f t="shared" si="3"/>
        <v>0</v>
      </c>
      <c r="H166" s="15"/>
    </row>
    <row r="167" spans="1:9" x14ac:dyDescent="0.2">
      <c r="A167" s="42">
        <v>11.023999999999999</v>
      </c>
      <c r="B167" s="63" t="s">
        <v>120</v>
      </c>
      <c r="C167" s="61"/>
      <c r="D167" s="8">
        <v>2</v>
      </c>
      <c r="E167" s="29" t="s">
        <v>45</v>
      </c>
      <c r="F167" s="10">
        <v>0</v>
      </c>
      <c r="G167" s="11">
        <f>F167*D167</f>
        <v>0</v>
      </c>
      <c r="H167" s="15"/>
    </row>
    <row r="168" spans="1:9" x14ac:dyDescent="0.2">
      <c r="A168" s="42"/>
      <c r="B168" s="61"/>
      <c r="C168" s="61"/>
      <c r="D168" s="8"/>
      <c r="E168" s="12"/>
      <c r="F168" s="24"/>
      <c r="G168" s="24"/>
      <c r="H168" s="15"/>
    </row>
    <row r="169" spans="1:9" x14ac:dyDescent="0.2">
      <c r="A169" s="42"/>
      <c r="D169" s="8"/>
      <c r="E169" s="12"/>
      <c r="F169" s="10"/>
      <c r="G169" s="11"/>
      <c r="I169" s="44">
        <f>SUM(G154:G166)</f>
        <v>0</v>
      </c>
    </row>
    <row r="170" spans="1:9" x14ac:dyDescent="0.2">
      <c r="A170" s="8">
        <v>11.02</v>
      </c>
      <c r="B170" s="40" t="s">
        <v>121</v>
      </c>
      <c r="C170" s="41"/>
      <c r="D170" s="8"/>
      <c r="E170" s="12"/>
      <c r="F170" s="10"/>
      <c r="G170" s="11"/>
      <c r="H170" s="44"/>
    </row>
    <row r="171" spans="1:9" x14ac:dyDescent="0.2">
      <c r="A171" s="8"/>
      <c r="B171" s="2"/>
      <c r="D171" s="8"/>
      <c r="E171" s="12"/>
      <c r="F171" s="10"/>
      <c r="G171" s="11"/>
      <c r="H171" s="44"/>
    </row>
    <row r="172" spans="1:9" x14ac:dyDescent="0.2">
      <c r="A172" s="42">
        <v>11.021000000000001</v>
      </c>
      <c r="B172" s="60" t="s">
        <v>122</v>
      </c>
      <c r="C172" s="61"/>
      <c r="D172" s="8">
        <v>1</v>
      </c>
      <c r="E172" s="12" t="s">
        <v>50</v>
      </c>
      <c r="F172" s="35">
        <v>0</v>
      </c>
      <c r="G172" s="11">
        <f>F172*D172</f>
        <v>0</v>
      </c>
      <c r="H172" s="44"/>
    </row>
    <row r="173" spans="1:9" x14ac:dyDescent="0.2">
      <c r="A173" s="42"/>
      <c r="B173" s="61"/>
      <c r="C173" s="61"/>
      <c r="D173" s="8"/>
      <c r="E173" s="12"/>
      <c r="F173" s="10"/>
      <c r="G173" s="11"/>
      <c r="H173" s="44"/>
    </row>
    <row r="174" spans="1:9" x14ac:dyDescent="0.2">
      <c r="A174" s="8"/>
      <c r="B174" s="61"/>
      <c r="C174" s="61"/>
      <c r="D174" s="8"/>
      <c r="E174" s="12"/>
      <c r="F174" s="10"/>
      <c r="G174" s="11"/>
      <c r="H174" s="44"/>
    </row>
    <row r="175" spans="1:9" x14ac:dyDescent="0.2">
      <c r="A175" s="8"/>
      <c r="B175" s="61"/>
      <c r="C175" s="61"/>
      <c r="D175" s="8"/>
      <c r="E175" s="12"/>
      <c r="F175" s="10"/>
      <c r="G175" s="11"/>
      <c r="H175" s="44"/>
    </row>
    <row r="176" spans="1:9" x14ac:dyDescent="0.2">
      <c r="A176" s="8"/>
      <c r="B176" s="61"/>
      <c r="C176" s="61"/>
      <c r="D176" s="8"/>
      <c r="E176" s="12"/>
      <c r="F176" s="10"/>
      <c r="G176" s="11"/>
      <c r="H176" s="44"/>
    </row>
    <row r="177" spans="1:9" x14ac:dyDescent="0.2">
      <c r="A177" s="42">
        <v>11.022</v>
      </c>
      <c r="B177" s="60" t="s">
        <v>123</v>
      </c>
      <c r="C177" s="61"/>
      <c r="D177" s="8">
        <f>[1]ANALISIS!D2555</f>
        <v>520</v>
      </c>
      <c r="E177" s="45" t="s">
        <v>124</v>
      </c>
      <c r="F177" s="10">
        <v>0</v>
      </c>
      <c r="G177" s="11">
        <f>F177*D177</f>
        <v>0</v>
      </c>
      <c r="H177" s="44"/>
    </row>
    <row r="178" spans="1:9" x14ac:dyDescent="0.2">
      <c r="A178" s="8"/>
      <c r="B178" s="61"/>
      <c r="C178" s="61"/>
      <c r="D178" s="8"/>
      <c r="E178" s="12"/>
      <c r="F178" s="10"/>
      <c r="G178" s="11"/>
      <c r="H178" s="44"/>
    </row>
    <row r="179" spans="1:9" x14ac:dyDescent="0.2">
      <c r="A179" s="42">
        <v>11.023</v>
      </c>
      <c r="B179" s="60" t="s">
        <v>125</v>
      </c>
      <c r="C179" s="61"/>
      <c r="D179" s="8">
        <v>2300</v>
      </c>
      <c r="E179" s="45" t="s">
        <v>124</v>
      </c>
      <c r="F179" s="10">
        <v>0</v>
      </c>
      <c r="G179" s="11">
        <f>F179*D179</f>
        <v>0</v>
      </c>
      <c r="H179" s="44"/>
    </row>
    <row r="180" spans="1:9" x14ac:dyDescent="0.2">
      <c r="A180" s="8"/>
      <c r="B180" s="61"/>
      <c r="C180" s="61"/>
      <c r="D180" s="8"/>
      <c r="E180" s="12"/>
      <c r="F180" s="10"/>
      <c r="G180" s="11"/>
      <c r="H180" s="44"/>
    </row>
    <row r="181" spans="1:9" x14ac:dyDescent="0.2">
      <c r="A181" s="42">
        <v>11.023999999999999</v>
      </c>
      <c r="B181" s="60" t="s">
        <v>126</v>
      </c>
      <c r="C181" s="61"/>
      <c r="D181" s="8">
        <v>1</v>
      </c>
      <c r="E181" s="12" t="s">
        <v>50</v>
      </c>
      <c r="F181" s="35">
        <v>0</v>
      </c>
      <c r="G181" s="11">
        <f>F181*D181</f>
        <v>0</v>
      </c>
      <c r="H181" s="44"/>
    </row>
    <row r="182" spans="1:9" x14ac:dyDescent="0.2">
      <c r="A182" s="42"/>
      <c r="B182" s="61"/>
      <c r="C182" s="61"/>
      <c r="D182" s="8"/>
      <c r="E182" s="12"/>
      <c r="F182" s="10"/>
      <c r="G182" s="11"/>
      <c r="H182" s="44"/>
    </row>
    <row r="183" spans="1:9" x14ac:dyDescent="0.2">
      <c r="A183" s="8"/>
      <c r="B183" s="61"/>
      <c r="C183" s="61"/>
      <c r="D183" s="8"/>
      <c r="E183" s="12"/>
      <c r="F183" s="10"/>
      <c r="G183" s="11"/>
      <c r="H183" s="44"/>
    </row>
    <row r="184" spans="1:9" x14ac:dyDescent="0.2">
      <c r="A184" s="8"/>
      <c r="B184" s="61"/>
      <c r="C184" s="61"/>
      <c r="D184" s="8"/>
      <c r="E184" s="12"/>
      <c r="F184" s="10"/>
      <c r="G184" s="11"/>
      <c r="H184" s="44"/>
    </row>
    <row r="185" spans="1:9" x14ac:dyDescent="0.2">
      <c r="A185" s="8"/>
      <c r="B185" s="61"/>
      <c r="C185" s="61"/>
      <c r="D185" s="8"/>
      <c r="E185" s="12"/>
      <c r="F185" s="10"/>
      <c r="G185" s="11"/>
    </row>
    <row r="186" spans="1:9" x14ac:dyDescent="0.2">
      <c r="A186" s="42">
        <v>11.025</v>
      </c>
      <c r="B186" s="60" t="s">
        <v>127</v>
      </c>
      <c r="C186" s="61"/>
      <c r="D186" s="8">
        <f>[1]ANALISIS!D2575</f>
        <v>500</v>
      </c>
      <c r="E186" s="45" t="s">
        <v>124</v>
      </c>
      <c r="F186" s="10">
        <v>0</v>
      </c>
      <c r="G186" s="11">
        <f>F186*D186</f>
        <v>0</v>
      </c>
      <c r="H186" s="44"/>
    </row>
    <row r="187" spans="1:9" x14ac:dyDescent="0.2">
      <c r="A187" s="8"/>
      <c r="B187" s="61"/>
      <c r="C187" s="61"/>
      <c r="D187" s="8"/>
      <c r="E187" s="12"/>
      <c r="F187" s="10"/>
      <c r="G187" s="11"/>
      <c r="H187" s="44"/>
    </row>
    <row r="188" spans="1:9" x14ac:dyDescent="0.2">
      <c r="A188" s="42">
        <v>11.026</v>
      </c>
      <c r="B188" s="60" t="s">
        <v>128</v>
      </c>
      <c r="C188" s="61"/>
      <c r="D188" s="8">
        <v>2000</v>
      </c>
      <c r="E188" s="45" t="s">
        <v>124</v>
      </c>
      <c r="F188" s="10">
        <v>0</v>
      </c>
      <c r="G188" s="11">
        <f>F188*D188</f>
        <v>0</v>
      </c>
      <c r="H188" s="44"/>
    </row>
    <row r="189" spans="1:9" x14ac:dyDescent="0.2">
      <c r="A189" s="8"/>
      <c r="B189" s="61"/>
      <c r="C189" s="61"/>
      <c r="D189" s="8"/>
      <c r="E189" s="12"/>
      <c r="F189" s="10"/>
      <c r="G189" s="11"/>
    </row>
    <row r="190" spans="1:9" x14ac:dyDescent="0.2">
      <c r="A190" s="42">
        <v>11.026999999999999</v>
      </c>
      <c r="B190" s="60" t="s">
        <v>129</v>
      </c>
      <c r="C190" s="61"/>
      <c r="D190" s="8">
        <v>20</v>
      </c>
      <c r="E190" s="45" t="s">
        <v>130</v>
      </c>
      <c r="F190" s="10">
        <f>ROUND(SUM(G172:G188),2)</f>
        <v>0</v>
      </c>
      <c r="G190" s="11">
        <f>F190*D190/100</f>
        <v>0</v>
      </c>
      <c r="I190" s="44">
        <f>SUM(G172:G190)</f>
        <v>0</v>
      </c>
    </row>
    <row r="191" spans="1:9" x14ac:dyDescent="0.2">
      <c r="A191" s="8"/>
      <c r="B191" s="46"/>
      <c r="C191" s="46"/>
      <c r="D191" s="8"/>
      <c r="E191" s="12"/>
      <c r="F191" s="10"/>
      <c r="G191" s="11"/>
      <c r="H191" s="44"/>
    </row>
    <row r="192" spans="1:9" x14ac:dyDescent="0.2">
      <c r="A192" s="8">
        <v>11.03</v>
      </c>
      <c r="B192" s="40" t="s">
        <v>131</v>
      </c>
      <c r="C192" s="41"/>
      <c r="D192" s="8"/>
      <c r="E192" s="12"/>
      <c r="F192" s="10"/>
      <c r="G192" s="11"/>
    </row>
    <row r="193" spans="1:9" x14ac:dyDescent="0.2">
      <c r="A193" s="8"/>
      <c r="B193" s="40"/>
      <c r="C193" s="41"/>
      <c r="D193" s="8"/>
      <c r="E193" s="12"/>
      <c r="F193" s="10"/>
      <c r="G193" s="11"/>
    </row>
    <row r="194" spans="1:9" x14ac:dyDescent="0.2">
      <c r="A194" s="42">
        <v>11.031000000000001</v>
      </c>
      <c r="B194" s="25" t="s">
        <v>132</v>
      </c>
      <c r="C194" s="25"/>
      <c r="D194" s="8">
        <v>1292</v>
      </c>
      <c r="E194" s="45" t="s">
        <v>124</v>
      </c>
      <c r="F194" s="10">
        <v>0</v>
      </c>
      <c r="G194" s="11">
        <f t="shared" ref="G194:G203" si="4">F194*D194</f>
        <v>0</v>
      </c>
    </row>
    <row r="195" spans="1:9" x14ac:dyDescent="0.2">
      <c r="A195" s="42">
        <v>11.032</v>
      </c>
      <c r="B195" s="25" t="s">
        <v>133</v>
      </c>
      <c r="C195" s="25"/>
      <c r="D195" s="8">
        <v>1430</v>
      </c>
      <c r="E195" s="45" t="s">
        <v>124</v>
      </c>
      <c r="F195" s="10">
        <v>0</v>
      </c>
      <c r="G195" s="11">
        <f t="shared" si="4"/>
        <v>0</v>
      </c>
    </row>
    <row r="196" spans="1:9" x14ac:dyDescent="0.2">
      <c r="A196" s="42">
        <v>11.032999999999999</v>
      </c>
      <c r="B196" s="25" t="s">
        <v>134</v>
      </c>
      <c r="C196" s="25"/>
      <c r="D196" s="8">
        <v>1560</v>
      </c>
      <c r="E196" s="45" t="s">
        <v>124</v>
      </c>
      <c r="F196" s="10">
        <v>0</v>
      </c>
      <c r="G196" s="11">
        <f t="shared" si="4"/>
        <v>0</v>
      </c>
    </row>
    <row r="197" spans="1:9" x14ac:dyDescent="0.2">
      <c r="A197" s="42">
        <v>11.034000000000001</v>
      </c>
      <c r="B197" s="25" t="s">
        <v>135</v>
      </c>
      <c r="C197" s="25"/>
      <c r="D197" s="8">
        <v>1600</v>
      </c>
      <c r="E197" s="45" t="s">
        <v>124</v>
      </c>
      <c r="F197" s="10">
        <v>0</v>
      </c>
      <c r="G197" s="11">
        <f t="shared" si="4"/>
        <v>0</v>
      </c>
    </row>
    <row r="198" spans="1:9" x14ac:dyDescent="0.2">
      <c r="A198" s="42">
        <v>11.035</v>
      </c>
      <c r="B198" s="25" t="s">
        <v>136</v>
      </c>
      <c r="C198" s="25"/>
      <c r="D198" s="8">
        <v>1755</v>
      </c>
      <c r="E198" s="45" t="s">
        <v>124</v>
      </c>
      <c r="F198" s="10">
        <v>0</v>
      </c>
      <c r="G198" s="11">
        <f t="shared" si="4"/>
        <v>0</v>
      </c>
    </row>
    <row r="199" spans="1:9" x14ac:dyDescent="0.2">
      <c r="A199" s="42">
        <v>11.036</v>
      </c>
      <c r="B199" s="25" t="s">
        <v>137</v>
      </c>
      <c r="C199" s="25"/>
      <c r="D199" s="8">
        <v>1915</v>
      </c>
      <c r="E199" s="45" t="s">
        <v>124</v>
      </c>
      <c r="F199" s="10">
        <v>0</v>
      </c>
      <c r="G199" s="11">
        <f t="shared" si="4"/>
        <v>0</v>
      </c>
    </row>
    <row r="200" spans="1:9" x14ac:dyDescent="0.2">
      <c r="A200" s="42">
        <v>11.037000000000001</v>
      </c>
      <c r="B200" s="60" t="s">
        <v>138</v>
      </c>
      <c r="C200" s="61"/>
      <c r="D200" s="8">
        <v>1</v>
      </c>
      <c r="E200" s="12" t="s">
        <v>92</v>
      </c>
      <c r="F200" s="10">
        <v>0</v>
      </c>
      <c r="G200" s="11">
        <f t="shared" si="4"/>
        <v>0</v>
      </c>
    </row>
    <row r="201" spans="1:9" x14ac:dyDescent="0.2">
      <c r="A201" s="42"/>
      <c r="B201" s="61"/>
      <c r="C201" s="61"/>
      <c r="D201" s="8"/>
      <c r="E201" s="45"/>
      <c r="F201" s="10"/>
      <c r="G201" s="11"/>
    </row>
    <row r="202" spans="1:9" x14ac:dyDescent="0.2">
      <c r="A202" s="42"/>
      <c r="B202" s="61"/>
      <c r="C202" s="61"/>
      <c r="D202" s="8"/>
      <c r="E202" s="45"/>
      <c r="F202" s="10"/>
      <c r="G202" s="11"/>
    </row>
    <row r="203" spans="1:9" x14ac:dyDescent="0.2">
      <c r="A203" s="42">
        <v>11.038</v>
      </c>
      <c r="B203" s="60" t="s">
        <v>139</v>
      </c>
      <c r="C203" s="61"/>
      <c r="D203" s="8">
        <v>67</v>
      </c>
      <c r="E203" s="45" t="s">
        <v>124</v>
      </c>
      <c r="F203" s="10">
        <v>0</v>
      </c>
      <c r="G203" s="11">
        <f t="shared" si="4"/>
        <v>0</v>
      </c>
    </row>
    <row r="204" spans="1:9" x14ac:dyDescent="0.2">
      <c r="A204" s="42"/>
      <c r="B204" s="61"/>
      <c r="C204" s="61"/>
      <c r="D204" s="8"/>
      <c r="E204" s="45"/>
      <c r="F204" s="10"/>
      <c r="G204" s="11"/>
    </row>
    <row r="205" spans="1:9" x14ac:dyDescent="0.2">
      <c r="A205" s="42"/>
      <c r="B205" s="61"/>
      <c r="C205" s="61"/>
      <c r="D205" s="8"/>
      <c r="E205" s="45"/>
      <c r="F205" s="10"/>
      <c r="G205" s="11"/>
      <c r="I205" s="44">
        <f>SUM(G194:G204)</f>
        <v>0</v>
      </c>
    </row>
    <row r="206" spans="1:9" x14ac:dyDescent="0.2">
      <c r="A206" s="42">
        <v>11.039</v>
      </c>
      <c r="B206" s="61" t="s">
        <v>129</v>
      </c>
      <c r="C206" s="61"/>
      <c r="D206" s="8">
        <v>20</v>
      </c>
      <c r="E206" s="45" t="s">
        <v>130</v>
      </c>
      <c r="F206" s="10">
        <f>ROUND(SUM(G194:G204),2)</f>
        <v>0</v>
      </c>
      <c r="G206" s="11">
        <f>F206*D206/100</f>
        <v>0</v>
      </c>
      <c r="I206" s="44"/>
    </row>
    <row r="207" spans="1:9" x14ac:dyDescent="0.2">
      <c r="A207" s="8"/>
      <c r="B207" s="46"/>
      <c r="C207" s="46"/>
      <c r="D207" s="8"/>
      <c r="E207" s="12"/>
      <c r="F207" s="10"/>
      <c r="G207" s="11"/>
    </row>
    <row r="208" spans="1:9" x14ac:dyDescent="0.2">
      <c r="A208" s="8">
        <v>11.04</v>
      </c>
      <c r="B208" s="40" t="s">
        <v>140</v>
      </c>
      <c r="C208" s="41"/>
      <c r="D208" s="8"/>
      <c r="E208" s="12"/>
      <c r="F208" s="10"/>
      <c r="G208" s="11"/>
    </row>
    <row r="209" spans="1:8" x14ac:dyDescent="0.2">
      <c r="A209" s="8"/>
      <c r="B209" s="46"/>
      <c r="C209" s="46"/>
      <c r="D209" s="8"/>
      <c r="E209" s="12"/>
      <c r="F209" s="10"/>
      <c r="G209" s="11"/>
      <c r="H209" s="44"/>
    </row>
    <row r="210" spans="1:8" x14ac:dyDescent="0.2">
      <c r="A210" s="42">
        <v>11.041</v>
      </c>
      <c r="B210" s="25" t="s">
        <v>141</v>
      </c>
      <c r="D210" s="8">
        <v>16</v>
      </c>
      <c r="E210" s="29" t="s">
        <v>45</v>
      </c>
      <c r="F210" s="10">
        <v>0</v>
      </c>
      <c r="G210" s="11">
        <f>F210*D210</f>
        <v>0</v>
      </c>
      <c r="H210" s="15"/>
    </row>
    <row r="211" spans="1:8" x14ac:dyDescent="0.2">
      <c r="A211" s="42">
        <v>11.042</v>
      </c>
      <c r="B211" s="60" t="s">
        <v>142</v>
      </c>
      <c r="C211" s="61"/>
      <c r="D211" s="8">
        <v>3</v>
      </c>
      <c r="E211" s="29" t="s">
        <v>45</v>
      </c>
      <c r="F211" s="10">
        <v>0</v>
      </c>
      <c r="G211" s="11">
        <f>F211*D211</f>
        <v>0</v>
      </c>
      <c r="H211" s="15"/>
    </row>
    <row r="212" spans="1:8" x14ac:dyDescent="0.2">
      <c r="A212" s="42"/>
      <c r="B212" s="61"/>
      <c r="C212" s="61"/>
      <c r="D212" s="8"/>
      <c r="E212" s="29"/>
      <c r="F212" s="10"/>
      <c r="G212" s="11"/>
      <c r="H212" s="15"/>
    </row>
    <row r="213" spans="1:8" x14ac:dyDescent="0.2">
      <c r="A213" s="42">
        <v>11.042999999999999</v>
      </c>
      <c r="B213" s="60" t="s">
        <v>143</v>
      </c>
      <c r="C213" s="61"/>
      <c r="D213" s="8">
        <v>8</v>
      </c>
      <c r="E213" s="29" t="s">
        <v>45</v>
      </c>
      <c r="F213" s="10">
        <v>0</v>
      </c>
      <c r="G213" s="11">
        <f>F213*D213</f>
        <v>0</v>
      </c>
      <c r="H213" s="15"/>
    </row>
    <row r="214" spans="1:8" x14ac:dyDescent="0.2">
      <c r="A214" s="42"/>
      <c r="B214" s="61"/>
      <c r="C214" s="61"/>
      <c r="D214" s="8"/>
      <c r="E214" s="12"/>
      <c r="F214" s="10"/>
      <c r="G214" s="11"/>
      <c r="H214" s="15"/>
    </row>
    <row r="215" spans="1:8" ht="12.75" customHeight="1" x14ac:dyDescent="0.2">
      <c r="A215" s="42">
        <v>11.044</v>
      </c>
      <c r="B215" s="60" t="s">
        <v>144</v>
      </c>
      <c r="C215" s="61"/>
      <c r="D215" s="8">
        <v>1</v>
      </c>
      <c r="E215" s="12" t="s">
        <v>92</v>
      </c>
      <c r="F215" s="10">
        <v>0</v>
      </c>
      <c r="G215" s="11">
        <f>F215*D215</f>
        <v>0</v>
      </c>
      <c r="H215" s="15"/>
    </row>
    <row r="216" spans="1:8" x14ac:dyDescent="0.2">
      <c r="A216" s="8"/>
      <c r="B216" s="61"/>
      <c r="C216" s="61"/>
      <c r="D216" s="8"/>
      <c r="E216" s="12"/>
      <c r="F216" s="10"/>
      <c r="G216" s="11"/>
      <c r="H216" s="15">
        <f>SUM(G154:G216)</f>
        <v>0</v>
      </c>
    </row>
    <row r="217" spans="1:8" x14ac:dyDescent="0.2">
      <c r="D217" s="8"/>
      <c r="E217" s="12"/>
      <c r="F217" s="24"/>
      <c r="G217" s="24"/>
    </row>
    <row r="218" spans="1:8" x14ac:dyDescent="0.2">
      <c r="A218" s="6">
        <v>12</v>
      </c>
      <c r="B218" s="2" t="s">
        <v>145</v>
      </c>
      <c r="D218" s="8"/>
      <c r="E218" s="12"/>
      <c r="F218" s="24"/>
      <c r="G218" s="24"/>
      <c r="H218" s="15"/>
    </row>
    <row r="219" spans="1:8" x14ac:dyDescent="0.2">
      <c r="D219" s="8"/>
      <c r="E219" s="12"/>
      <c r="F219" s="24"/>
      <c r="G219" s="24"/>
      <c r="H219" s="15"/>
    </row>
    <row r="220" spans="1:8" x14ac:dyDescent="0.2">
      <c r="A220" s="8">
        <v>12.01</v>
      </c>
      <c r="B220" s="25" t="s">
        <v>146</v>
      </c>
      <c r="D220" s="8">
        <v>30</v>
      </c>
      <c r="E220" s="12" t="s">
        <v>19</v>
      </c>
      <c r="F220" s="10">
        <v>0</v>
      </c>
      <c r="G220" s="11">
        <f>F220*D220</f>
        <v>0</v>
      </c>
      <c r="H220" s="15"/>
    </row>
    <row r="221" spans="1:8" x14ac:dyDescent="0.2">
      <c r="A221" s="8">
        <v>12.02</v>
      </c>
      <c r="B221" s="60" t="s">
        <v>147</v>
      </c>
      <c r="C221" s="61"/>
      <c r="D221" s="8">
        <v>1</v>
      </c>
      <c r="E221" s="45" t="s">
        <v>50</v>
      </c>
      <c r="F221" s="10">
        <v>0</v>
      </c>
      <c r="G221" s="11">
        <f>F221*D221</f>
        <v>0</v>
      </c>
      <c r="H221" s="15"/>
    </row>
    <row r="222" spans="1:8" x14ac:dyDescent="0.2">
      <c r="A222" s="8"/>
      <c r="B222" s="61"/>
      <c r="C222" s="61"/>
      <c r="D222" s="8"/>
      <c r="E222" s="12"/>
      <c r="F222" s="10"/>
      <c r="G222" s="11"/>
      <c r="H222" s="15"/>
    </row>
    <row r="223" spans="1:8" x14ac:dyDescent="0.2">
      <c r="A223" s="8">
        <v>12.03</v>
      </c>
      <c r="B223" s="60" t="s">
        <v>148</v>
      </c>
      <c r="C223" s="61"/>
      <c r="D223" s="8">
        <v>1</v>
      </c>
      <c r="E223" s="12" t="s">
        <v>50</v>
      </c>
      <c r="F223" s="10">
        <v>0</v>
      </c>
      <c r="G223" s="11">
        <f>F223*D223</f>
        <v>0</v>
      </c>
      <c r="H223" s="15"/>
    </row>
    <row r="224" spans="1:8" x14ac:dyDescent="0.2">
      <c r="A224" s="8"/>
      <c r="B224" s="61"/>
      <c r="C224" s="61"/>
      <c r="D224" s="8"/>
      <c r="E224" s="12"/>
      <c r="F224" s="24"/>
      <c r="G224" s="11"/>
      <c r="H224" s="15"/>
    </row>
    <row r="225" spans="1:8" x14ac:dyDescent="0.2">
      <c r="A225" s="8">
        <v>12.04</v>
      </c>
      <c r="B225" s="60" t="s">
        <v>149</v>
      </c>
      <c r="C225" s="61"/>
      <c r="D225" s="8">
        <v>6</v>
      </c>
      <c r="E225" s="45" t="s">
        <v>45</v>
      </c>
      <c r="F225" s="10">
        <v>0</v>
      </c>
      <c r="G225" s="11">
        <f>F225*D225</f>
        <v>0</v>
      </c>
      <c r="H225" s="15"/>
    </row>
    <row r="226" spans="1:8" x14ac:dyDescent="0.2">
      <c r="A226" s="8"/>
      <c r="B226" s="61"/>
      <c r="C226" s="61"/>
      <c r="D226" s="8"/>
      <c r="E226" s="12"/>
      <c r="F226" s="24"/>
      <c r="G226" s="11"/>
      <c r="H226" s="15"/>
    </row>
    <row r="227" spans="1:8" x14ac:dyDescent="0.2">
      <c r="A227" s="8">
        <v>12.05</v>
      </c>
      <c r="B227" s="60" t="s">
        <v>150</v>
      </c>
      <c r="C227" s="61"/>
      <c r="D227" s="8">
        <v>6</v>
      </c>
      <c r="E227" s="45" t="s">
        <v>45</v>
      </c>
      <c r="F227" s="11">
        <v>0</v>
      </c>
      <c r="G227" s="11">
        <f>F227*D227</f>
        <v>0</v>
      </c>
      <c r="H227" s="15"/>
    </row>
    <row r="228" spans="1:8" x14ac:dyDescent="0.2">
      <c r="A228" s="8"/>
      <c r="B228" s="61"/>
      <c r="C228" s="61"/>
      <c r="D228" s="8"/>
      <c r="E228" s="12"/>
      <c r="F228" s="11"/>
      <c r="G228" s="11"/>
      <c r="H228" s="15"/>
    </row>
    <row r="229" spans="1:8" x14ac:dyDescent="0.2">
      <c r="A229" s="8"/>
      <c r="B229" s="61"/>
      <c r="C229" s="61"/>
      <c r="D229" s="8"/>
      <c r="E229" s="12"/>
      <c r="F229" s="11"/>
      <c r="G229" s="11"/>
      <c r="H229" s="15"/>
    </row>
    <row r="230" spans="1:8" x14ac:dyDescent="0.2">
      <c r="A230" s="8"/>
      <c r="B230" s="61"/>
      <c r="C230" s="61"/>
      <c r="D230" s="8"/>
      <c r="E230" s="12"/>
      <c r="F230" s="11"/>
      <c r="G230" s="11"/>
      <c r="H230" s="15"/>
    </row>
    <row r="231" spans="1:8" x14ac:dyDescent="0.2">
      <c r="A231" s="8">
        <v>12.06</v>
      </c>
      <c r="B231" s="63" t="s">
        <v>151</v>
      </c>
      <c r="C231" s="64"/>
      <c r="D231" s="8">
        <v>4</v>
      </c>
      <c r="E231" s="45" t="s">
        <v>45</v>
      </c>
      <c r="F231" s="11">
        <v>0</v>
      </c>
      <c r="G231" s="11">
        <f>F231*D231</f>
        <v>0</v>
      </c>
      <c r="H231" s="15"/>
    </row>
    <row r="232" spans="1:8" x14ac:dyDescent="0.2">
      <c r="A232" s="8"/>
      <c r="B232" s="64"/>
      <c r="C232" s="64"/>
      <c r="D232" s="8"/>
      <c r="E232" s="12"/>
      <c r="F232" s="11"/>
      <c r="G232" s="11"/>
      <c r="H232" s="15"/>
    </row>
    <row r="233" spans="1:8" x14ac:dyDescent="0.2">
      <c r="A233" s="8">
        <v>12.07</v>
      </c>
      <c r="B233" s="25" t="s">
        <v>152</v>
      </c>
      <c r="D233" s="8">
        <v>6</v>
      </c>
      <c r="E233" s="45" t="s">
        <v>45</v>
      </c>
      <c r="F233" s="47">
        <v>0</v>
      </c>
      <c r="G233" s="11">
        <f>F233*D233</f>
        <v>0</v>
      </c>
      <c r="H233" s="15"/>
    </row>
    <row r="234" spans="1:8" x14ac:dyDescent="0.2">
      <c r="A234" s="8">
        <v>12.08</v>
      </c>
      <c r="B234" s="65" t="s">
        <v>153</v>
      </c>
      <c r="C234" s="65"/>
      <c r="D234" s="8">
        <v>7</v>
      </c>
      <c r="E234" s="45" t="s">
        <v>45</v>
      </c>
      <c r="F234" s="47">
        <v>0</v>
      </c>
      <c r="G234" s="11">
        <f>F234*D234</f>
        <v>0</v>
      </c>
      <c r="H234" s="15"/>
    </row>
    <row r="235" spans="1:8" x14ac:dyDescent="0.2">
      <c r="A235" s="8"/>
      <c r="B235" s="66"/>
      <c r="C235" s="66"/>
      <c r="D235" s="8"/>
      <c r="E235" s="12"/>
      <c r="F235" s="11"/>
      <c r="G235" s="11"/>
      <c r="H235" s="15"/>
    </row>
    <row r="236" spans="1:8" x14ac:dyDescent="0.2">
      <c r="A236" s="8">
        <v>12.09</v>
      </c>
      <c r="B236" s="65" t="s">
        <v>154</v>
      </c>
      <c r="C236" s="61"/>
      <c r="D236" s="8">
        <v>6</v>
      </c>
      <c r="E236" s="45" t="s">
        <v>45</v>
      </c>
      <c r="F236" s="47">
        <v>0</v>
      </c>
      <c r="G236" s="11">
        <f>F236*D236</f>
        <v>0</v>
      </c>
      <c r="H236" s="15"/>
    </row>
    <row r="237" spans="1:8" x14ac:dyDescent="0.2">
      <c r="A237" s="8"/>
      <c r="B237" s="61"/>
      <c r="C237" s="61"/>
      <c r="D237" s="8"/>
      <c r="E237" s="12"/>
      <c r="F237" s="11"/>
      <c r="G237" s="11"/>
      <c r="H237" s="15"/>
    </row>
    <row r="238" spans="1:8" x14ac:dyDescent="0.2">
      <c r="A238" s="8">
        <v>12.1</v>
      </c>
      <c r="B238" s="65" t="s">
        <v>155</v>
      </c>
      <c r="C238" s="61"/>
      <c r="D238" s="8">
        <v>6</v>
      </c>
      <c r="E238" s="45" t="s">
        <v>45</v>
      </c>
      <c r="F238" s="47">
        <v>0</v>
      </c>
      <c r="G238" s="11">
        <f>F238*D238</f>
        <v>0</v>
      </c>
      <c r="H238" s="15"/>
    </row>
    <row r="239" spans="1:8" x14ac:dyDescent="0.2">
      <c r="A239" s="8"/>
      <c r="B239" s="61"/>
      <c r="C239" s="61"/>
      <c r="D239" s="8"/>
      <c r="E239" s="12"/>
      <c r="F239" s="11"/>
      <c r="G239" s="11"/>
      <c r="H239" s="15"/>
    </row>
    <row r="240" spans="1:8" x14ac:dyDescent="0.2">
      <c r="A240" s="8">
        <v>12.11</v>
      </c>
      <c r="B240" s="65" t="s">
        <v>156</v>
      </c>
      <c r="C240" s="61"/>
      <c r="D240" s="8">
        <v>1</v>
      </c>
      <c r="E240" s="45" t="s">
        <v>50</v>
      </c>
      <c r="F240" s="47">
        <v>0</v>
      </c>
      <c r="G240" s="11">
        <f>F240*D240</f>
        <v>0</v>
      </c>
      <c r="H240" s="15"/>
    </row>
    <row r="241" spans="1:9" x14ac:dyDescent="0.2">
      <c r="A241" s="8"/>
      <c r="B241" s="61"/>
      <c r="C241" s="61"/>
      <c r="D241" s="8"/>
      <c r="E241" s="12"/>
      <c r="F241" s="11"/>
      <c r="G241" s="11"/>
      <c r="H241" s="15"/>
    </row>
    <row r="242" spans="1:9" x14ac:dyDescent="0.2">
      <c r="A242" s="8">
        <v>12.12</v>
      </c>
      <c r="B242" s="65" t="s">
        <v>157</v>
      </c>
      <c r="C242" s="61"/>
      <c r="D242" s="8">
        <v>6</v>
      </c>
      <c r="E242" s="45" t="s">
        <v>45</v>
      </c>
      <c r="F242" s="47">
        <v>0</v>
      </c>
      <c r="G242" s="11">
        <f>F242*D242</f>
        <v>0</v>
      </c>
      <c r="H242" s="15"/>
    </row>
    <row r="243" spans="1:9" x14ac:dyDescent="0.2">
      <c r="A243" s="8"/>
      <c r="B243" s="46"/>
      <c r="C243" s="46"/>
      <c r="D243" s="8"/>
      <c r="E243" s="12"/>
      <c r="F243" s="10"/>
      <c r="G243" s="11"/>
      <c r="H243" s="15">
        <f>SUM(G220:G242)</f>
        <v>0</v>
      </c>
    </row>
    <row r="244" spans="1:9" x14ac:dyDescent="0.2">
      <c r="D244" s="8"/>
      <c r="E244" s="12"/>
      <c r="F244" s="24"/>
      <c r="G244" s="24"/>
      <c r="H244" s="15"/>
    </row>
    <row r="245" spans="1:9" x14ac:dyDescent="0.2">
      <c r="A245" s="6">
        <v>13</v>
      </c>
      <c r="B245" s="48" t="s">
        <v>158</v>
      </c>
      <c r="D245" s="8"/>
      <c r="E245" s="12"/>
      <c r="F245" s="24"/>
      <c r="G245" s="24"/>
      <c r="H245" s="15"/>
    </row>
    <row r="246" spans="1:9" x14ac:dyDescent="0.2">
      <c r="D246" s="8"/>
      <c r="E246" s="12"/>
      <c r="F246" s="24"/>
      <c r="G246" s="24"/>
      <c r="H246" s="15"/>
    </row>
    <row r="247" spans="1:9" s="20" customFormat="1" x14ac:dyDescent="0.2">
      <c r="A247" s="13">
        <v>13.01</v>
      </c>
      <c r="B247" s="43" t="s">
        <v>159</v>
      </c>
      <c r="D247" s="13">
        <v>1</v>
      </c>
      <c r="E247" s="49" t="s">
        <v>50</v>
      </c>
      <c r="F247" s="47">
        <v>0</v>
      </c>
      <c r="G247" s="11">
        <f>F247*D247</f>
        <v>0</v>
      </c>
      <c r="H247" s="19"/>
    </row>
    <row r="248" spans="1:9" x14ac:dyDescent="0.2">
      <c r="A248" s="8">
        <v>13.02</v>
      </c>
      <c r="B248" s="25" t="s">
        <v>160</v>
      </c>
      <c r="D248" s="8">
        <v>4</v>
      </c>
      <c r="E248" s="45" t="s">
        <v>45</v>
      </c>
      <c r="F248" s="10">
        <v>0</v>
      </c>
      <c r="G248" s="11">
        <f>F248*D248</f>
        <v>0</v>
      </c>
      <c r="H248" s="15"/>
    </row>
    <row r="249" spans="1:9" x14ac:dyDescent="0.2">
      <c r="A249" s="13">
        <v>13.03</v>
      </c>
      <c r="B249" s="25" t="s">
        <v>161</v>
      </c>
      <c r="D249" s="8">
        <v>1</v>
      </c>
      <c r="E249" s="49" t="s">
        <v>50</v>
      </c>
      <c r="F249" s="10">
        <v>0</v>
      </c>
      <c r="G249" s="11">
        <f>F249*D249</f>
        <v>0</v>
      </c>
      <c r="H249" s="15"/>
    </row>
    <row r="250" spans="1:9" x14ac:dyDescent="0.2">
      <c r="B250" s="25"/>
      <c r="D250" s="8"/>
      <c r="E250" s="9"/>
      <c r="F250" s="39"/>
      <c r="G250" s="24"/>
      <c r="H250" s="15">
        <f>SUM(G247:G249)</f>
        <v>0</v>
      </c>
    </row>
    <row r="251" spans="1:9" x14ac:dyDescent="0.2">
      <c r="D251" s="8"/>
      <c r="E251" s="9"/>
      <c r="F251" s="39"/>
      <c r="G251" s="24"/>
      <c r="H251" s="15"/>
    </row>
    <row r="252" spans="1:9" x14ac:dyDescent="0.2">
      <c r="A252" s="6">
        <v>14</v>
      </c>
      <c r="B252" s="2" t="s">
        <v>162</v>
      </c>
      <c r="D252" s="8"/>
      <c r="E252" s="12"/>
      <c r="F252" s="24"/>
      <c r="G252" s="24"/>
      <c r="H252" s="15"/>
    </row>
    <row r="253" spans="1:9" x14ac:dyDescent="0.2">
      <c r="D253" s="8"/>
      <c r="E253" s="12"/>
      <c r="F253" s="24"/>
      <c r="G253" s="24"/>
      <c r="H253" s="15"/>
    </row>
    <row r="254" spans="1:9" x14ac:dyDescent="0.2">
      <c r="A254" s="8">
        <v>14.01</v>
      </c>
      <c r="B254" s="60" t="s">
        <v>163</v>
      </c>
      <c r="C254" s="61"/>
      <c r="D254" s="8">
        <v>8</v>
      </c>
      <c r="E254" s="9" t="s">
        <v>164</v>
      </c>
      <c r="F254" s="10">
        <v>0</v>
      </c>
      <c r="G254" s="11">
        <f>F254*D254</f>
        <v>0</v>
      </c>
      <c r="H254" s="15"/>
      <c r="I254">
        <f>1.7*4*1.7*0.2+1.7*1.7*0.2</f>
        <v>2.8899999999999997</v>
      </c>
    </row>
    <row r="255" spans="1:9" x14ac:dyDescent="0.2">
      <c r="B255" s="61"/>
      <c r="C255" s="61"/>
      <c r="D255" s="8"/>
      <c r="E255" s="12"/>
      <c r="F255" s="24"/>
      <c r="G255" s="24"/>
      <c r="H255" s="15"/>
    </row>
    <row r="256" spans="1:9" x14ac:dyDescent="0.2">
      <c r="B256" s="61"/>
      <c r="C256" s="61"/>
      <c r="D256" s="8"/>
      <c r="E256" s="12"/>
      <c r="F256" s="24"/>
      <c r="G256" s="24"/>
      <c r="H256" s="15"/>
    </row>
    <row r="257" spans="1:8" x14ac:dyDescent="0.2">
      <c r="B257" s="61"/>
      <c r="C257" s="61"/>
      <c r="D257" s="8"/>
      <c r="E257" s="12"/>
      <c r="F257" s="24"/>
      <c r="G257" s="24"/>
      <c r="H257" s="15"/>
    </row>
    <row r="258" spans="1:8" x14ac:dyDescent="0.2">
      <c r="A258" s="8">
        <v>14.02</v>
      </c>
      <c r="B258" s="60" t="s">
        <v>165</v>
      </c>
      <c r="C258" s="61"/>
      <c r="D258" s="8">
        <v>6</v>
      </c>
      <c r="E258" s="45" t="s">
        <v>45</v>
      </c>
      <c r="F258" s="10">
        <v>0</v>
      </c>
      <c r="G258" s="11">
        <f t="shared" ref="G258:G268" si="5">F258*D258</f>
        <v>0</v>
      </c>
      <c r="H258" s="15"/>
    </row>
    <row r="259" spans="1:8" x14ac:dyDescent="0.2">
      <c r="A259" s="8"/>
      <c r="B259" s="61"/>
      <c r="C259" s="61"/>
      <c r="D259" s="8"/>
      <c r="E259" s="45"/>
      <c r="F259" s="10"/>
      <c r="G259" s="11"/>
      <c r="H259" s="15"/>
    </row>
    <row r="260" spans="1:8" x14ac:dyDescent="0.2">
      <c r="A260" s="8"/>
      <c r="B260" s="61"/>
      <c r="C260" s="61"/>
      <c r="D260" s="8"/>
      <c r="E260" s="12"/>
      <c r="F260" s="24"/>
      <c r="G260" s="24"/>
      <c r="H260" s="15"/>
    </row>
    <row r="261" spans="1:8" x14ac:dyDescent="0.2">
      <c r="A261" s="8">
        <v>14.03</v>
      </c>
      <c r="B261" s="25" t="s">
        <v>166</v>
      </c>
      <c r="D261" s="8">
        <f>99*0.8*2</f>
        <v>158.4</v>
      </c>
      <c r="E261" s="9" t="s">
        <v>60</v>
      </c>
      <c r="F261" s="10">
        <v>0</v>
      </c>
      <c r="G261" s="11">
        <f t="shared" si="5"/>
        <v>0</v>
      </c>
      <c r="H261" s="15"/>
    </row>
    <row r="262" spans="1:8" x14ac:dyDescent="0.2">
      <c r="A262" s="8">
        <v>14.04</v>
      </c>
      <c r="B262" t="s">
        <v>167</v>
      </c>
      <c r="D262" s="16">
        <f>90*2</f>
        <v>180</v>
      </c>
      <c r="E262" s="9" t="s">
        <v>19</v>
      </c>
      <c r="F262" s="10">
        <v>0</v>
      </c>
      <c r="G262" s="11">
        <f t="shared" si="5"/>
        <v>0</v>
      </c>
      <c r="H262" s="15"/>
    </row>
    <row r="263" spans="1:8" x14ac:dyDescent="0.2">
      <c r="A263" s="8">
        <v>14.05</v>
      </c>
      <c r="B263" t="s">
        <v>168</v>
      </c>
      <c r="D263" s="8">
        <f>9*2</f>
        <v>18</v>
      </c>
      <c r="E263" s="9" t="s">
        <v>19</v>
      </c>
      <c r="F263" s="10">
        <v>0</v>
      </c>
      <c r="G263" s="11">
        <f t="shared" si="5"/>
        <v>0</v>
      </c>
      <c r="H263" s="15"/>
    </row>
    <row r="264" spans="1:8" x14ac:dyDescent="0.2">
      <c r="A264" s="8">
        <v>14.06</v>
      </c>
      <c r="B264" s="60" t="s">
        <v>169</v>
      </c>
      <c r="C264" s="61"/>
      <c r="D264" s="8">
        <v>1</v>
      </c>
      <c r="E264" s="9" t="s">
        <v>92</v>
      </c>
      <c r="F264" s="10">
        <v>0</v>
      </c>
      <c r="G264" s="11">
        <f t="shared" si="5"/>
        <v>0</v>
      </c>
      <c r="H264" s="15"/>
    </row>
    <row r="265" spans="1:8" x14ac:dyDescent="0.2">
      <c r="A265" s="8"/>
      <c r="B265" s="61"/>
      <c r="C265" s="61"/>
      <c r="D265" s="8"/>
      <c r="E265" s="9"/>
      <c r="F265" s="10"/>
      <c r="G265" s="11"/>
      <c r="H265" s="15"/>
    </row>
    <row r="266" spans="1:8" x14ac:dyDescent="0.2">
      <c r="A266" s="8">
        <v>14.07</v>
      </c>
      <c r="B266" s="25" t="s">
        <v>170</v>
      </c>
      <c r="D266" s="8">
        <v>1</v>
      </c>
      <c r="E266" s="9" t="s">
        <v>92</v>
      </c>
      <c r="F266" s="10">
        <v>0</v>
      </c>
      <c r="G266" s="11">
        <f t="shared" si="5"/>
        <v>0</v>
      </c>
      <c r="H266" s="15"/>
    </row>
    <row r="267" spans="1:8" x14ac:dyDescent="0.2">
      <c r="A267" s="8">
        <v>14.08</v>
      </c>
      <c r="B267" s="25" t="s">
        <v>171</v>
      </c>
      <c r="D267" s="8">
        <v>1</v>
      </c>
      <c r="E267" s="9" t="s">
        <v>92</v>
      </c>
      <c r="F267" s="10">
        <v>0</v>
      </c>
      <c r="G267" s="11">
        <f t="shared" si="5"/>
        <v>0</v>
      </c>
      <c r="H267" s="15"/>
    </row>
    <row r="268" spans="1:8" x14ac:dyDescent="0.2">
      <c r="A268" s="8">
        <v>14.09</v>
      </c>
      <c r="B268" s="60" t="s">
        <v>172</v>
      </c>
      <c r="C268" s="61"/>
      <c r="D268" s="8">
        <v>3108.21</v>
      </c>
      <c r="E268" s="9" t="s">
        <v>60</v>
      </c>
      <c r="F268" s="11">
        <v>0</v>
      </c>
      <c r="G268" s="11">
        <f t="shared" si="5"/>
        <v>0</v>
      </c>
      <c r="H268" s="15"/>
    </row>
    <row r="269" spans="1:8" x14ac:dyDescent="0.2">
      <c r="A269" s="8"/>
      <c r="B269" s="61"/>
      <c r="C269" s="61"/>
      <c r="D269" s="8"/>
      <c r="E269" s="9"/>
      <c r="F269" s="10"/>
      <c r="G269" s="11"/>
      <c r="H269" s="15"/>
    </row>
    <row r="270" spans="1:8" x14ac:dyDescent="0.2">
      <c r="A270" s="8">
        <v>14.1</v>
      </c>
      <c r="B270" s="60" t="s">
        <v>173</v>
      </c>
      <c r="C270" s="61"/>
      <c r="D270" s="16">
        <f>0.6*182*0.3</f>
        <v>32.76</v>
      </c>
      <c r="E270" s="32" t="s">
        <v>22</v>
      </c>
      <c r="F270" s="27">
        <v>0</v>
      </c>
      <c r="G270" s="11">
        <f>F270*D270</f>
        <v>0</v>
      </c>
      <c r="H270" s="15"/>
    </row>
    <row r="271" spans="1:8" x14ac:dyDescent="0.2">
      <c r="A271" s="8"/>
      <c r="B271" s="61"/>
      <c r="C271" s="61"/>
      <c r="D271" s="8"/>
      <c r="E271" s="9"/>
      <c r="F271" s="10"/>
      <c r="G271" s="11"/>
      <c r="H271" s="15"/>
    </row>
    <row r="272" spans="1:8" x14ac:dyDescent="0.2">
      <c r="A272" s="8"/>
      <c r="B272" s="61"/>
      <c r="C272" s="61"/>
      <c r="D272" s="8"/>
      <c r="E272" s="9"/>
      <c r="F272" s="10"/>
      <c r="G272" s="11"/>
      <c r="H272" s="15"/>
    </row>
    <row r="273" spans="1:8" x14ac:dyDescent="0.2">
      <c r="A273">
        <v>14.11</v>
      </c>
      <c r="B273" s="62" t="s">
        <v>174</v>
      </c>
      <c r="C273" s="62"/>
      <c r="D273">
        <f>ROUND((I254+D270)*1.4,2)</f>
        <v>49.91</v>
      </c>
      <c r="E273" s="9" t="s">
        <v>22</v>
      </c>
      <c r="F273" s="10">
        <v>0</v>
      </c>
      <c r="G273" s="11">
        <f>F273*D273</f>
        <v>0</v>
      </c>
      <c r="H273" s="15"/>
    </row>
    <row r="274" spans="1:8" x14ac:dyDescent="0.2">
      <c r="A274">
        <v>14.12</v>
      </c>
      <c r="B274" s="60" t="s">
        <v>175</v>
      </c>
      <c r="C274" s="61"/>
      <c r="D274" s="8">
        <f>[1]ANALISIS!G3126</f>
        <v>22.5</v>
      </c>
      <c r="E274" s="9" t="s">
        <v>19</v>
      </c>
      <c r="F274" s="10">
        <v>0</v>
      </c>
      <c r="G274" s="11">
        <f>F274*D274</f>
        <v>0</v>
      </c>
      <c r="H274" s="15"/>
    </row>
    <row r="275" spans="1:8" s="20" customFormat="1" x14ac:dyDescent="0.2">
      <c r="A275" s="8"/>
      <c r="B275" s="61"/>
      <c r="C275" s="61"/>
      <c r="D275" s="8"/>
      <c r="E275" s="9"/>
      <c r="F275" s="10"/>
      <c r="G275" s="11"/>
      <c r="H275" s="15"/>
    </row>
    <row r="276" spans="1:8" s="20" customFormat="1" x14ac:dyDescent="0.2">
      <c r="A276">
        <v>14.13</v>
      </c>
      <c r="B276" s="25" t="s">
        <v>176</v>
      </c>
      <c r="C276"/>
      <c r="D276" s="50">
        <f>9+2+1</f>
        <v>12</v>
      </c>
      <c r="E276" s="51" t="s">
        <v>50</v>
      </c>
      <c r="F276" s="47">
        <v>0</v>
      </c>
      <c r="G276" s="47">
        <f>ROUND(F276*D276,2)</f>
        <v>0</v>
      </c>
      <c r="H276" s="15"/>
    </row>
    <row r="277" spans="1:8" x14ac:dyDescent="0.2">
      <c r="A277">
        <v>14.14</v>
      </c>
      <c r="B277" s="60" t="s">
        <v>177</v>
      </c>
      <c r="C277" s="61"/>
      <c r="D277" s="8">
        <v>1</v>
      </c>
      <c r="E277" s="12" t="s">
        <v>50</v>
      </c>
      <c r="F277" s="10">
        <v>0</v>
      </c>
      <c r="G277" s="11">
        <f>F277*D277</f>
        <v>0</v>
      </c>
      <c r="H277" s="15"/>
    </row>
    <row r="278" spans="1:8" x14ac:dyDescent="0.2">
      <c r="A278" s="8"/>
      <c r="B278" s="61"/>
      <c r="C278" s="61"/>
      <c r="D278" s="8"/>
      <c r="E278" s="12"/>
      <c r="F278" s="10"/>
      <c r="G278" s="11"/>
      <c r="H278" s="15"/>
    </row>
    <row r="279" spans="1:8" x14ac:dyDescent="0.2">
      <c r="A279">
        <v>14.15</v>
      </c>
      <c r="B279" s="60" t="s">
        <v>178</v>
      </c>
      <c r="C279" s="61"/>
      <c r="D279" s="8">
        <v>6</v>
      </c>
      <c r="E279" s="12" t="s">
        <v>50</v>
      </c>
      <c r="F279" s="10">
        <v>0</v>
      </c>
      <c r="G279" s="11">
        <f>F279*D279</f>
        <v>0</v>
      </c>
      <c r="H279" s="52"/>
    </row>
    <row r="280" spans="1:8" x14ac:dyDescent="0.2">
      <c r="A280" s="8"/>
      <c r="B280" s="61"/>
      <c r="C280" s="61"/>
      <c r="D280" s="8"/>
      <c r="E280" s="9"/>
      <c r="F280" s="10"/>
      <c r="G280" s="11"/>
      <c r="H280" s="15"/>
    </row>
    <row r="281" spans="1:8" x14ac:dyDescent="0.2">
      <c r="A281">
        <v>14.16</v>
      </c>
      <c r="B281" s="43" t="s">
        <v>179</v>
      </c>
      <c r="C281" s="20"/>
      <c r="D281" s="16">
        <v>560</v>
      </c>
      <c r="E281" s="9" t="s">
        <v>60</v>
      </c>
      <c r="F281" s="10">
        <v>0</v>
      </c>
      <c r="G281" s="11">
        <f>F281*D281</f>
        <v>0</v>
      </c>
      <c r="H281" s="19"/>
    </row>
    <row r="282" spans="1:8" x14ac:dyDescent="0.2">
      <c r="A282">
        <v>14.17</v>
      </c>
      <c r="B282" s="60" t="s">
        <v>180</v>
      </c>
      <c r="C282" s="61"/>
      <c r="D282" s="8">
        <v>1</v>
      </c>
      <c r="E282" s="9" t="s">
        <v>50</v>
      </c>
      <c r="F282" s="11">
        <v>0</v>
      </c>
      <c r="G282" s="11">
        <f>F282*D282</f>
        <v>0</v>
      </c>
      <c r="H282" s="15"/>
    </row>
    <row r="283" spans="1:8" x14ac:dyDescent="0.2">
      <c r="B283" s="61"/>
      <c r="C283" s="61"/>
      <c r="D283" s="8"/>
      <c r="E283" s="9"/>
      <c r="F283" s="10"/>
      <c r="G283" s="11"/>
      <c r="H283" s="15"/>
    </row>
    <row r="284" spans="1:8" x14ac:dyDescent="0.2">
      <c r="B284" s="61"/>
      <c r="C284" s="61"/>
      <c r="D284" s="8"/>
      <c r="E284" s="9"/>
      <c r="F284" s="10"/>
      <c r="G284" s="11"/>
      <c r="H284" s="15"/>
    </row>
    <row r="285" spans="1:8" x14ac:dyDescent="0.2">
      <c r="A285">
        <v>14.18</v>
      </c>
      <c r="B285" s="60" t="s">
        <v>181</v>
      </c>
      <c r="C285" s="61"/>
      <c r="D285" s="8">
        <v>1</v>
      </c>
      <c r="E285" s="9" t="s">
        <v>50</v>
      </c>
      <c r="F285" s="10">
        <v>0</v>
      </c>
      <c r="G285" s="11">
        <f>F285*D285</f>
        <v>0</v>
      </c>
      <c r="H285" s="15"/>
    </row>
    <row r="286" spans="1:8" x14ac:dyDescent="0.2">
      <c r="B286" s="61"/>
      <c r="C286" s="61"/>
      <c r="D286" s="8"/>
      <c r="E286" s="9"/>
      <c r="F286" s="10"/>
      <c r="G286" s="11"/>
      <c r="H286" s="15"/>
    </row>
    <row r="287" spans="1:8" ht="12.75" customHeight="1" x14ac:dyDescent="0.2">
      <c r="A287">
        <v>14.19</v>
      </c>
      <c r="B287" s="60" t="s">
        <v>182</v>
      </c>
      <c r="C287" s="61"/>
      <c r="D287" s="8">
        <v>1</v>
      </c>
      <c r="E287" s="9" t="s">
        <v>92</v>
      </c>
      <c r="F287" s="10">
        <v>0</v>
      </c>
      <c r="G287" s="11">
        <f>F287*D287</f>
        <v>0</v>
      </c>
      <c r="H287" s="15"/>
    </row>
    <row r="288" spans="1:8" x14ac:dyDescent="0.2">
      <c r="B288" s="61"/>
      <c r="C288" s="61"/>
      <c r="D288" s="8"/>
      <c r="E288" s="9"/>
      <c r="F288" s="10"/>
      <c r="G288" s="11"/>
      <c r="H288" s="15"/>
    </row>
    <row r="289" spans="1:8" x14ac:dyDescent="0.2">
      <c r="B289" s="61"/>
      <c r="C289" s="61"/>
      <c r="D289" s="8"/>
      <c r="E289" s="9"/>
      <c r="F289" s="10"/>
      <c r="G289" s="11"/>
      <c r="H289" s="15"/>
    </row>
    <row r="290" spans="1:8" x14ac:dyDescent="0.2">
      <c r="B290" s="61"/>
      <c r="C290" s="61"/>
      <c r="D290" s="8"/>
      <c r="E290" s="12"/>
      <c r="F290" s="10"/>
      <c r="G290" s="24"/>
    </row>
    <row r="291" spans="1:8" x14ac:dyDescent="0.2">
      <c r="A291" s="53">
        <v>14.2</v>
      </c>
      <c r="B291" s="43" t="s">
        <v>183</v>
      </c>
      <c r="C291" s="46"/>
      <c r="D291" s="8">
        <v>1</v>
      </c>
      <c r="E291" s="9" t="s">
        <v>92</v>
      </c>
      <c r="F291" s="10">
        <v>0</v>
      </c>
      <c r="G291" s="11">
        <f>F291*D291</f>
        <v>0</v>
      </c>
      <c r="H291" s="15"/>
    </row>
    <row r="292" spans="1:8" x14ac:dyDescent="0.2">
      <c r="B292" s="46"/>
      <c r="C292" s="46"/>
      <c r="D292" s="8"/>
      <c r="E292" s="12"/>
      <c r="F292" s="24"/>
      <c r="G292" s="24"/>
      <c r="H292" s="15">
        <f>SUM(G254:G291)</f>
        <v>0</v>
      </c>
    </row>
    <row r="293" spans="1:8" x14ac:dyDescent="0.2">
      <c r="D293" s="8"/>
      <c r="E293" s="12"/>
      <c r="F293" s="24"/>
      <c r="G293" s="24"/>
      <c r="H293" s="15"/>
    </row>
    <row r="294" spans="1:8" x14ac:dyDescent="0.2">
      <c r="D294" s="8"/>
      <c r="E294" s="12"/>
      <c r="F294" s="24"/>
      <c r="G294" s="24"/>
      <c r="H294" s="15"/>
    </row>
    <row r="295" spans="1:8" x14ac:dyDescent="0.2">
      <c r="B295" s="54" t="s">
        <v>184</v>
      </c>
      <c r="C295" s="55"/>
      <c r="H295" s="56">
        <f>SUM(H21:H292)</f>
        <v>0</v>
      </c>
    </row>
    <row r="296" spans="1:8" x14ac:dyDescent="0.2">
      <c r="A296" s="20"/>
      <c r="B296" s="48"/>
      <c r="C296" s="20"/>
      <c r="D296" s="20"/>
      <c r="E296" s="20"/>
      <c r="F296" s="20"/>
      <c r="G296" s="20"/>
      <c r="H296" s="19"/>
    </row>
    <row r="297" spans="1:8" x14ac:dyDescent="0.2">
      <c r="D297" s="8"/>
      <c r="E297" s="12"/>
      <c r="F297" s="24"/>
      <c r="G297" s="24"/>
      <c r="H297" s="15"/>
    </row>
    <row r="298" spans="1:8" x14ac:dyDescent="0.2">
      <c r="D298" s="8"/>
      <c r="E298" s="12"/>
      <c r="F298" s="24"/>
      <c r="G298" s="24"/>
      <c r="H298" s="15"/>
    </row>
    <row r="299" spans="1:8" x14ac:dyDescent="0.2">
      <c r="A299" s="6">
        <v>15</v>
      </c>
      <c r="B299" s="2" t="s">
        <v>185</v>
      </c>
      <c r="D299" s="8"/>
      <c r="E299" s="12"/>
      <c r="F299" s="24"/>
      <c r="G299" s="24"/>
      <c r="H299" s="15"/>
    </row>
    <row r="300" spans="1:8" x14ac:dyDescent="0.2">
      <c r="D300" s="8"/>
      <c r="E300" s="12"/>
      <c r="F300" s="24"/>
      <c r="G300" s="24"/>
      <c r="H300" s="15"/>
    </row>
    <row r="301" spans="1:8" x14ac:dyDescent="0.2">
      <c r="A301" s="8">
        <v>15.01</v>
      </c>
      <c r="B301" s="25" t="s">
        <v>186</v>
      </c>
      <c r="C301" s="25"/>
      <c r="D301" s="57">
        <v>0</v>
      </c>
      <c r="E301" s="25"/>
      <c r="F301" s="25"/>
      <c r="G301" s="11">
        <f>ROUND(H$295*D301,2)</f>
        <v>0</v>
      </c>
    </row>
    <row r="302" spans="1:8" x14ac:dyDescent="0.2">
      <c r="A302" s="8">
        <v>15.02</v>
      </c>
      <c r="B302" s="25" t="s">
        <v>187</v>
      </c>
      <c r="C302" s="25"/>
      <c r="D302" s="57">
        <v>0</v>
      </c>
      <c r="E302" s="25"/>
      <c r="F302" s="25"/>
      <c r="G302" s="11">
        <f t="shared" ref="G302:G308" si="6">ROUND(H$295*D302,2)</f>
        <v>0</v>
      </c>
    </row>
    <row r="303" spans="1:8" x14ac:dyDescent="0.2">
      <c r="A303" s="8">
        <v>15.03</v>
      </c>
      <c r="B303" s="25" t="s">
        <v>188</v>
      </c>
      <c r="C303" s="25"/>
      <c r="D303" s="57">
        <v>0.05</v>
      </c>
      <c r="E303" s="25"/>
      <c r="F303" s="25"/>
      <c r="G303" s="11">
        <f t="shared" si="6"/>
        <v>0</v>
      </c>
    </row>
    <row r="304" spans="1:8" x14ac:dyDescent="0.2">
      <c r="A304" s="8">
        <v>15.04</v>
      </c>
      <c r="B304" s="25" t="s">
        <v>189</v>
      </c>
      <c r="C304" s="25"/>
      <c r="D304" s="57">
        <v>0</v>
      </c>
      <c r="E304" s="25"/>
      <c r="F304" s="25"/>
      <c r="G304" s="11">
        <f t="shared" si="6"/>
        <v>0</v>
      </c>
    </row>
    <row r="305" spans="1:9" x14ac:dyDescent="0.2">
      <c r="A305" s="8">
        <v>15.05</v>
      </c>
      <c r="B305" s="25" t="s">
        <v>190</v>
      </c>
      <c r="C305" s="25"/>
      <c r="D305" s="57">
        <v>0</v>
      </c>
      <c r="E305" s="25"/>
      <c r="F305" s="25"/>
      <c r="G305" s="11">
        <f t="shared" si="6"/>
        <v>0</v>
      </c>
    </row>
    <row r="306" spans="1:9" x14ac:dyDescent="0.2">
      <c r="A306" s="8">
        <v>15.06</v>
      </c>
      <c r="B306" s="25" t="s">
        <v>191</v>
      </c>
      <c r="C306" s="25"/>
      <c r="D306" s="57">
        <v>0</v>
      </c>
      <c r="E306" s="25"/>
      <c r="F306" s="25"/>
      <c r="G306" s="11">
        <f t="shared" si="6"/>
        <v>0</v>
      </c>
    </row>
    <row r="307" spans="1:9" x14ac:dyDescent="0.2">
      <c r="A307" s="8">
        <v>15.07</v>
      </c>
      <c r="B307" s="25" t="s">
        <v>192</v>
      </c>
      <c r="C307" s="25"/>
      <c r="D307" s="57">
        <v>1.7999999999999999E-2</v>
      </c>
      <c r="E307" s="25"/>
      <c r="F307" s="25"/>
      <c r="G307" s="11">
        <f t="shared" si="6"/>
        <v>0</v>
      </c>
    </row>
    <row r="308" spans="1:9" x14ac:dyDescent="0.2">
      <c r="A308" s="8">
        <v>15.08</v>
      </c>
      <c r="B308" s="43" t="s">
        <v>193</v>
      </c>
      <c r="D308" s="58">
        <v>0.01</v>
      </c>
      <c r="E308" s="20"/>
      <c r="F308" s="20"/>
      <c r="G308" s="11">
        <f t="shared" si="6"/>
        <v>0</v>
      </c>
    </row>
    <row r="309" spans="1:9" x14ac:dyDescent="0.2">
      <c r="H309" s="15">
        <f>SUM(G301:G308)</f>
        <v>0</v>
      </c>
    </row>
    <row r="310" spans="1:9" x14ac:dyDescent="0.2">
      <c r="I310" s="35"/>
    </row>
    <row r="313" spans="1:9" x14ac:dyDescent="0.2">
      <c r="B313" s="54" t="s">
        <v>194</v>
      </c>
      <c r="C313" s="55"/>
      <c r="H313" s="56">
        <f>ROUND(SUM(H295:H309),2)</f>
        <v>0</v>
      </c>
    </row>
  </sheetData>
  <mergeCells count="75">
    <mergeCell ref="B282:C284"/>
    <mergeCell ref="B285:C286"/>
    <mergeCell ref="B287:C290"/>
    <mergeCell ref="B268:C269"/>
    <mergeCell ref="B270:C272"/>
    <mergeCell ref="B273:C273"/>
    <mergeCell ref="B274:C275"/>
    <mergeCell ref="B277:C278"/>
    <mergeCell ref="B279:C280"/>
    <mergeCell ref="B264:C265"/>
    <mergeCell ref="B223:C224"/>
    <mergeCell ref="B225:C226"/>
    <mergeCell ref="B227:C230"/>
    <mergeCell ref="B231:C232"/>
    <mergeCell ref="B234:C235"/>
    <mergeCell ref="B236:C237"/>
    <mergeCell ref="B238:C239"/>
    <mergeCell ref="B240:C241"/>
    <mergeCell ref="B242:C242"/>
    <mergeCell ref="B254:C257"/>
    <mergeCell ref="B258:C260"/>
    <mergeCell ref="B221:C222"/>
    <mergeCell ref="B179:C180"/>
    <mergeCell ref="B181:C185"/>
    <mergeCell ref="B186:C187"/>
    <mergeCell ref="B188:C189"/>
    <mergeCell ref="B190:C190"/>
    <mergeCell ref="B200:C202"/>
    <mergeCell ref="B203:C205"/>
    <mergeCell ref="B206:C206"/>
    <mergeCell ref="B211:C212"/>
    <mergeCell ref="B213:C214"/>
    <mergeCell ref="B215:C216"/>
    <mergeCell ref="B177:C178"/>
    <mergeCell ref="B81:C82"/>
    <mergeCell ref="B90:C91"/>
    <mergeCell ref="B105:C106"/>
    <mergeCell ref="B119:C121"/>
    <mergeCell ref="B122:C123"/>
    <mergeCell ref="B124:C125"/>
    <mergeCell ref="B127:C128"/>
    <mergeCell ref="B129:C130"/>
    <mergeCell ref="B150:C150"/>
    <mergeCell ref="B167:C168"/>
    <mergeCell ref="B172:C176"/>
    <mergeCell ref="B79:C80"/>
    <mergeCell ref="B44:C45"/>
    <mergeCell ref="B46:C47"/>
    <mergeCell ref="B48:C48"/>
    <mergeCell ref="B51:C51"/>
    <mergeCell ref="B59:C60"/>
    <mergeCell ref="B62:C63"/>
    <mergeCell ref="B64:C64"/>
    <mergeCell ref="B65:C66"/>
    <mergeCell ref="B70:C70"/>
    <mergeCell ref="B71:C71"/>
    <mergeCell ref="B73:C74"/>
    <mergeCell ref="B42:C43"/>
    <mergeCell ref="B16:C16"/>
    <mergeCell ref="B20:C20"/>
    <mergeCell ref="B23:F23"/>
    <mergeCell ref="B25:C25"/>
    <mergeCell ref="B26:C27"/>
    <mergeCell ref="B28:C30"/>
    <mergeCell ref="B31:C32"/>
    <mergeCell ref="B34:C35"/>
    <mergeCell ref="B36:C37"/>
    <mergeCell ref="B38:C39"/>
    <mergeCell ref="B40:C41"/>
    <mergeCell ref="B14:C14"/>
    <mergeCell ref="C2:H2"/>
    <mergeCell ref="C3:H3"/>
    <mergeCell ref="C4:H4"/>
    <mergeCell ref="C5:H5"/>
    <mergeCell ref="A13:H13"/>
  </mergeCells>
  <pageMargins left="0.35433070866141736" right="0.23622047244094491" top="0.31496062992125984" bottom="0.35433070866141736" header="0" footer="0"/>
  <pageSetup scale="77" orientation="portrait" horizontalDpi="300" verticalDpi="300" r:id="rId1"/>
  <headerFooter alignWithMargins="0"/>
  <rowBreaks count="5" manualBreakCount="5">
    <brk id="69" max="7" man="1"/>
    <brk id="123" max="7" man="1"/>
    <brk id="176" max="7" man="1"/>
    <brk id="232" max="7" man="1"/>
    <brk id="29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OFERENTES</vt:lpstr>
      <vt:lpstr>'PRESUPUESTO OFERENTES'!Área_de_impresión</vt:lpstr>
      <vt:lpstr>'PRESUPUESTO OFERENTES'!Títulos_a_imprimir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a.disla</dc:creator>
  <cp:lastModifiedBy>Nathalia Polanco</cp:lastModifiedBy>
  <dcterms:created xsi:type="dcterms:W3CDTF">2018-01-24T16:07:55Z</dcterms:created>
  <dcterms:modified xsi:type="dcterms:W3CDTF">2018-11-30T12:59:52Z</dcterms:modified>
</cp:coreProperties>
</file>